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carlos/Downloads/Transparencia2025/"/>
    </mc:Choice>
  </mc:AlternateContent>
  <xr:revisionPtr revIDLastSave="0" documentId="8_{89CBE621-7762-DD41-B0CD-04D2C9159C77}" xr6:coauthVersionLast="47" xr6:coauthVersionMax="47" xr10:uidLastSave="{00000000-0000-0000-0000-000000000000}"/>
  <bookViews>
    <workbookView xWindow="22160" yWindow="500" windowWidth="25880" windowHeight="22180" tabRatio="449" activeTab="1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_xlnm.Print_Area" localSheetId="2">CAPITAL!$A$2:$G$100</definedName>
    <definedName name="_xlnm.Print_Area" localSheetId="1">EXPLOTACIÓN!$A$2:$G$145</definedName>
    <definedName name="ListaEmpresas">'CODIGOS EMPRESA'!$A:$B</definedName>
    <definedName name="NombresEmpresas">'CODIGOS EMPRESA'!$A:$A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F18" i="1"/>
  <c r="F17" i="1"/>
  <c r="E93" i="4"/>
  <c r="E17" i="1"/>
  <c r="E75" i="2" l="1"/>
  <c r="D34" i="3"/>
  <c r="F27" i="4" l="1"/>
  <c r="G27" i="4" s="1"/>
  <c r="F88" i="4"/>
  <c r="F93" i="4"/>
  <c r="G93" i="4" s="1"/>
  <c r="E70" i="3"/>
  <c r="E34" i="3" l="1"/>
  <c r="F34" i="3" s="1"/>
  <c r="G34" i="3" s="1"/>
  <c r="F45" i="2"/>
  <c r="F70" i="3"/>
  <c r="E45" i="2"/>
  <c r="E27" i="4"/>
  <c r="E18" i="1"/>
  <c r="D13" i="1"/>
  <c r="G49" i="1"/>
  <c r="E51" i="3"/>
  <c r="G16" i="3"/>
  <c r="F16" i="3"/>
  <c r="E16" i="3"/>
  <c r="D16" i="3"/>
  <c r="G11" i="3"/>
  <c r="F11" i="3"/>
  <c r="E11" i="3"/>
  <c r="D11" i="3"/>
  <c r="G88" i="4"/>
  <c r="E88" i="4"/>
  <c r="G69" i="4"/>
  <c r="E69" i="4"/>
  <c r="D69" i="4"/>
  <c r="G73" i="4"/>
  <c r="F73" i="4"/>
  <c r="G68" i="4"/>
  <c r="F68" i="4"/>
  <c r="E68" i="4"/>
  <c r="G13" i="4"/>
  <c r="F13" i="4"/>
  <c r="E13" i="4"/>
  <c r="D27" i="4"/>
  <c r="D26" i="4"/>
  <c r="D13" i="4"/>
  <c r="G21" i="1" l="1"/>
  <c r="F39" i="1"/>
  <c r="G39" i="1" s="1"/>
  <c r="F38" i="1"/>
  <c r="G38" i="1"/>
  <c r="F44" i="1"/>
  <c r="F21" i="1"/>
  <c r="G33" i="1"/>
  <c r="F33" i="1"/>
  <c r="G13" i="1"/>
  <c r="G71" i="1"/>
  <c r="F71" i="1"/>
  <c r="G46" i="1"/>
  <c r="G45" i="1"/>
  <c r="G44" i="1"/>
  <c r="F46" i="1"/>
  <c r="F45" i="1"/>
  <c r="G35" i="1"/>
  <c r="F35" i="1"/>
  <c r="G24" i="1"/>
  <c r="F24" i="1"/>
  <c r="G127" i="1"/>
  <c r="F127" i="1"/>
  <c r="E127" i="1"/>
  <c r="E71" i="1"/>
  <c r="G51" i="1"/>
  <c r="F51" i="1"/>
  <c r="E51" i="1"/>
  <c r="F49" i="1"/>
  <c r="E44" i="1"/>
  <c r="E39" i="1"/>
  <c r="E38" i="1"/>
  <c r="E112" i="1"/>
  <c r="E24" i="1" l="1"/>
  <c r="E35" i="1"/>
  <c r="D35" i="1"/>
  <c r="E21" i="1" l="1"/>
  <c r="D49" i="1" l="1"/>
  <c r="D27" i="1"/>
  <c r="D24" i="1"/>
  <c r="C90" i="2" l="1"/>
  <c r="C5" i="5" l="1"/>
  <c r="C10" i="5" l="1"/>
  <c r="D14" i="2" l="1"/>
  <c r="E14" i="2"/>
  <c r="F14" i="2"/>
  <c r="G14" i="2"/>
  <c r="C14" i="2"/>
  <c r="H99" i="4"/>
  <c r="A2" i="1" l="1"/>
  <c r="C12" i="1"/>
  <c r="C8" i="1" s="1"/>
  <c r="F11" i="2"/>
  <c r="G11" i="2"/>
  <c r="F19" i="2"/>
  <c r="G19" i="2"/>
  <c r="F31" i="2"/>
  <c r="G31" i="2"/>
  <c r="F42" i="2"/>
  <c r="F62" i="2" s="1"/>
  <c r="G42" i="2"/>
  <c r="F52" i="2"/>
  <c r="G52" i="2"/>
  <c r="F69" i="2"/>
  <c r="F66" i="2" s="1"/>
  <c r="G69" i="2"/>
  <c r="G66" i="2" s="1"/>
  <c r="F78" i="2"/>
  <c r="G78" i="2"/>
  <c r="F86" i="2"/>
  <c r="G86" i="2"/>
  <c r="F12" i="1"/>
  <c r="F8" i="1" s="1"/>
  <c r="G12" i="1"/>
  <c r="G8" i="1" s="1"/>
  <c r="F23" i="1"/>
  <c r="G23" i="1"/>
  <c r="F37" i="1"/>
  <c r="G37" i="1"/>
  <c r="F43" i="1"/>
  <c r="G43" i="1"/>
  <c r="F55" i="1"/>
  <c r="G55" i="1"/>
  <c r="F66" i="1"/>
  <c r="G66" i="1"/>
  <c r="G65" i="1" s="1"/>
  <c r="F69" i="1"/>
  <c r="G69" i="1"/>
  <c r="F73" i="1"/>
  <c r="F18" i="2" s="1"/>
  <c r="G73" i="1"/>
  <c r="G18" i="2" s="1"/>
  <c r="F78" i="1"/>
  <c r="F20" i="2" s="1"/>
  <c r="G78" i="1"/>
  <c r="G20" i="2" s="1"/>
  <c r="F84" i="1"/>
  <c r="G84" i="1"/>
  <c r="F119" i="1"/>
  <c r="G119" i="1"/>
  <c r="F132" i="1"/>
  <c r="G132" i="1"/>
  <c r="G135" i="1" s="1"/>
  <c r="F8" i="4"/>
  <c r="G8" i="4"/>
  <c r="F17" i="4"/>
  <c r="G17" i="4"/>
  <c r="F25" i="4"/>
  <c r="G25" i="4"/>
  <c r="F30" i="4"/>
  <c r="G30" i="4"/>
  <c r="F34" i="4"/>
  <c r="G34" i="4"/>
  <c r="F41" i="4"/>
  <c r="G41" i="4"/>
  <c r="F54" i="4"/>
  <c r="G54" i="4"/>
  <c r="F62" i="4"/>
  <c r="G62" i="4"/>
  <c r="F67" i="4"/>
  <c r="G67" i="4"/>
  <c r="F76" i="4"/>
  <c r="G76" i="4"/>
  <c r="F83" i="4"/>
  <c r="G83" i="4"/>
  <c r="F92" i="4"/>
  <c r="F100" i="2" s="1"/>
  <c r="G98" i="2" s="1"/>
  <c r="G92" i="4"/>
  <c r="G100" i="2" s="1"/>
  <c r="G10" i="3"/>
  <c r="G14" i="3"/>
  <c r="G18" i="3"/>
  <c r="G24" i="3"/>
  <c r="G32" i="3"/>
  <c r="G40" i="3"/>
  <c r="G46" i="3"/>
  <c r="G65" i="3"/>
  <c r="G76" i="3"/>
  <c r="F10" i="3"/>
  <c r="F14" i="3"/>
  <c r="F18" i="3"/>
  <c r="F24" i="3"/>
  <c r="F32" i="3"/>
  <c r="F40" i="3"/>
  <c r="F46" i="3"/>
  <c r="F65" i="3"/>
  <c r="F76" i="3"/>
  <c r="C119" i="1"/>
  <c r="D119" i="1"/>
  <c r="E119" i="1"/>
  <c r="C132" i="1"/>
  <c r="D132" i="1"/>
  <c r="E132" i="1"/>
  <c r="A2" i="3"/>
  <c r="A2" i="4"/>
  <c r="C46" i="3"/>
  <c r="D40" i="3"/>
  <c r="C40" i="3"/>
  <c r="C38" i="3" s="1"/>
  <c r="C32" i="3"/>
  <c r="C24" i="3"/>
  <c r="C14" i="3"/>
  <c r="C10" i="3"/>
  <c r="C54" i="4"/>
  <c r="C62" i="4"/>
  <c r="C67" i="4"/>
  <c r="C76" i="4"/>
  <c r="C83" i="4"/>
  <c r="C41" i="4"/>
  <c r="C34" i="4"/>
  <c r="C30" i="4"/>
  <c r="C25" i="4"/>
  <c r="C17" i="4"/>
  <c r="E8" i="4"/>
  <c r="D8" i="4"/>
  <c r="C8" i="4"/>
  <c r="D12" i="1"/>
  <c r="D8" i="1" s="1"/>
  <c r="E12" i="1"/>
  <c r="E8" i="1" s="1"/>
  <c r="D66" i="1"/>
  <c r="D69" i="1"/>
  <c r="D73" i="1"/>
  <c r="D18" i="2" s="1"/>
  <c r="D78" i="1"/>
  <c r="D20" i="2" s="1"/>
  <c r="D84" i="1"/>
  <c r="E66" i="1"/>
  <c r="E69" i="1"/>
  <c r="E65" i="1"/>
  <c r="E17" i="2" s="1"/>
  <c r="E73" i="1"/>
  <c r="E18" i="2" s="1"/>
  <c r="E78" i="1"/>
  <c r="E20" i="2" s="1"/>
  <c r="E84" i="1"/>
  <c r="C66" i="1"/>
  <c r="C69" i="1"/>
  <c r="C73" i="1"/>
  <c r="C18" i="2" s="1"/>
  <c r="C78" i="1"/>
  <c r="C20" i="2" s="1"/>
  <c r="C84" i="1"/>
  <c r="D43" i="1"/>
  <c r="C43" i="1"/>
  <c r="C23" i="1"/>
  <c r="C37" i="1"/>
  <c r="C55" i="1"/>
  <c r="E76" i="3"/>
  <c r="D76" i="3"/>
  <c r="C76" i="3"/>
  <c r="E32" i="3"/>
  <c r="D32" i="3"/>
  <c r="E23" i="1"/>
  <c r="E37" i="1"/>
  <c r="E43" i="1"/>
  <c r="E55" i="1"/>
  <c r="D23" i="1"/>
  <c r="D37" i="1"/>
  <c r="D55" i="1"/>
  <c r="E17" i="4"/>
  <c r="D17" i="4"/>
  <c r="E34" i="4"/>
  <c r="D34" i="4"/>
  <c r="E41" i="4"/>
  <c r="D41" i="4"/>
  <c r="E54" i="4"/>
  <c r="D54" i="4"/>
  <c r="E62" i="4"/>
  <c r="D62" i="4"/>
  <c r="E67" i="4"/>
  <c r="D67" i="4"/>
  <c r="E76" i="4"/>
  <c r="D76" i="4"/>
  <c r="E83" i="4"/>
  <c r="D83" i="4"/>
  <c r="E10" i="3"/>
  <c r="E14" i="3"/>
  <c r="E18" i="3"/>
  <c r="D10" i="3"/>
  <c r="D14" i="3"/>
  <c r="D18" i="3"/>
  <c r="C18" i="3"/>
  <c r="E69" i="2"/>
  <c r="E66" i="2" s="1"/>
  <c r="E78" i="2"/>
  <c r="E86" i="2"/>
  <c r="D69" i="2"/>
  <c r="D66" i="2" s="1"/>
  <c r="D78" i="2"/>
  <c r="D86" i="2"/>
  <c r="C69" i="2"/>
  <c r="C66" i="2" s="1"/>
  <c r="C78" i="2"/>
  <c r="C86" i="2"/>
  <c r="E11" i="2"/>
  <c r="E19" i="2"/>
  <c r="D11" i="2"/>
  <c r="D19" i="2"/>
  <c r="C11" i="2"/>
  <c r="C19" i="2"/>
  <c r="A2" i="2"/>
  <c r="C65" i="3"/>
  <c r="E65" i="3"/>
  <c r="D65" i="3"/>
  <c r="E40" i="3"/>
  <c r="E46" i="3"/>
  <c r="D46" i="3"/>
  <c r="C92" i="4"/>
  <c r="C100" i="2" s="1"/>
  <c r="D98" i="2" s="1"/>
  <c r="C23" i="2"/>
  <c r="C31" i="2"/>
  <c r="C42" i="2"/>
  <c r="C62" i="2" s="1"/>
  <c r="C52" i="2"/>
  <c r="E52" i="2"/>
  <c r="D52" i="2"/>
  <c r="E42" i="2"/>
  <c r="D42" i="2"/>
  <c r="E31" i="2"/>
  <c r="D31" i="2"/>
  <c r="E92" i="4"/>
  <c r="E100" i="2" s="1"/>
  <c r="F98" i="2" s="1"/>
  <c r="D92" i="4"/>
  <c r="D100" i="2" s="1"/>
  <c r="E98" i="2" s="1"/>
  <c r="E30" i="4"/>
  <c r="D30" i="4"/>
  <c r="E25" i="4"/>
  <c r="D25" i="4"/>
  <c r="E24" i="3"/>
  <c r="D24" i="3"/>
  <c r="D77" i="2" l="1"/>
  <c r="G27" i="2"/>
  <c r="E38" i="3"/>
  <c r="D59" i="3"/>
  <c r="E59" i="3"/>
  <c r="C77" i="2"/>
  <c r="E77" i="2"/>
  <c r="E92" i="2" s="1"/>
  <c r="E27" i="2"/>
  <c r="F135" i="1"/>
  <c r="F25" i="2"/>
  <c r="F28" i="2"/>
  <c r="D63" i="1"/>
  <c r="D135" i="1"/>
  <c r="C135" i="1"/>
  <c r="F38" i="3"/>
  <c r="G38" i="3"/>
  <c r="F65" i="1"/>
  <c r="F92" i="1" s="1"/>
  <c r="C63" i="1"/>
  <c r="C65" i="1"/>
  <c r="C92" i="1" s="1"/>
  <c r="G28" i="2"/>
  <c r="F26" i="2"/>
  <c r="D65" i="1"/>
  <c r="D17" i="2" s="1"/>
  <c r="D10" i="2" s="1"/>
  <c r="G63" i="1"/>
  <c r="E62" i="2"/>
  <c r="E28" i="2"/>
  <c r="E25" i="2"/>
  <c r="D27" i="2"/>
  <c r="C6" i="4"/>
  <c r="D24" i="2"/>
  <c r="F59" i="3"/>
  <c r="F50" i="4"/>
  <c r="F77" i="2"/>
  <c r="F92" i="2" s="1"/>
  <c r="E50" i="4"/>
  <c r="D28" i="2"/>
  <c r="D62" i="2"/>
  <c r="E10" i="2"/>
  <c r="C92" i="2"/>
  <c r="D50" i="4"/>
  <c r="E6" i="4"/>
  <c r="E63" i="1"/>
  <c r="D6" i="4"/>
  <c r="D26" i="2"/>
  <c r="E135" i="1"/>
  <c r="G50" i="4"/>
  <c r="G24" i="2"/>
  <c r="G6" i="4"/>
  <c r="G77" i="2"/>
  <c r="G92" i="2" s="1"/>
  <c r="G62" i="2"/>
  <c r="D38" i="3"/>
  <c r="C59" i="3"/>
  <c r="F24" i="2"/>
  <c r="D25" i="2"/>
  <c r="G26" i="2"/>
  <c r="G25" i="2"/>
  <c r="F6" i="4"/>
  <c r="F63" i="1"/>
  <c r="G92" i="1"/>
  <c r="G17" i="2"/>
  <c r="G10" i="2" s="1"/>
  <c r="D92" i="2"/>
  <c r="E24" i="2"/>
  <c r="G59" i="3"/>
  <c r="F27" i="2"/>
  <c r="C50" i="4"/>
  <c r="E26" i="2"/>
  <c r="E92" i="1"/>
  <c r="E96" i="4" l="1"/>
  <c r="G94" i="1"/>
  <c r="G8" i="2" s="1"/>
  <c r="C94" i="1"/>
  <c r="C8" i="2" s="1"/>
  <c r="F17" i="2"/>
  <c r="F10" i="2" s="1"/>
  <c r="D23" i="2"/>
  <c r="D92" i="1"/>
  <c r="C17" i="2"/>
  <c r="C10" i="2" s="1"/>
  <c r="C96" i="4"/>
  <c r="E94" i="1"/>
  <c r="E98" i="1" s="1"/>
  <c r="F96" i="4"/>
  <c r="F23" i="2"/>
  <c r="G23" i="2"/>
  <c r="D96" i="4"/>
  <c r="D94" i="1"/>
  <c r="D8" i="2" s="1"/>
  <c r="F94" i="1"/>
  <c r="F98" i="1" s="1"/>
  <c r="G96" i="4"/>
  <c r="E23" i="2"/>
  <c r="G98" i="1" l="1"/>
  <c r="F8" i="2"/>
  <c r="F38" i="2" s="1"/>
  <c r="F96" i="2" s="1"/>
  <c r="F102" i="2" s="1"/>
  <c r="D38" i="2"/>
  <c r="D96" i="2" s="1"/>
  <c r="D102" i="2" s="1"/>
  <c r="C38" i="2"/>
  <c r="C96" i="2" s="1"/>
  <c r="C102" i="2" s="1"/>
  <c r="C98" i="1"/>
  <c r="C22" i="3" s="1"/>
  <c r="C8" i="3" s="1"/>
  <c r="C6" i="3" s="1"/>
  <c r="C87" i="3" s="1"/>
  <c r="C99" i="4" s="1"/>
  <c r="E8" i="2"/>
  <c r="E38" i="2" s="1"/>
  <c r="E96" i="2" s="1"/>
  <c r="E102" i="2" s="1"/>
  <c r="D98" i="1"/>
  <c r="D104" i="1" s="1"/>
  <c r="D145" i="1" s="1"/>
  <c r="G38" i="2"/>
  <c r="G96" i="2" s="1"/>
  <c r="G102" i="2" s="1"/>
  <c r="E22" i="3"/>
  <c r="E8" i="3" s="1"/>
  <c r="E6" i="3" s="1"/>
  <c r="E87" i="3" s="1"/>
  <c r="E99" i="4" s="1"/>
  <c r="E104" i="1"/>
  <c r="E145" i="1" s="1"/>
  <c r="G22" i="3"/>
  <c r="G8" i="3" s="1"/>
  <c r="G6" i="3" s="1"/>
  <c r="G87" i="3" s="1"/>
  <c r="G99" i="4" s="1"/>
  <c r="G104" i="1"/>
  <c r="G145" i="1" s="1"/>
  <c r="F104" i="1"/>
  <c r="F145" i="1" s="1"/>
  <c r="F22" i="3"/>
  <c r="F8" i="3" s="1"/>
  <c r="F6" i="3" s="1"/>
  <c r="F87" i="3" s="1"/>
  <c r="F99" i="4" s="1"/>
  <c r="D22" i="3" l="1"/>
  <c r="D8" i="3" s="1"/>
  <c r="D6" i="3" s="1"/>
  <c r="D87" i="3" s="1"/>
  <c r="D99" i="4" s="1"/>
  <c r="C104" i="1"/>
  <c r="C145" i="1" s="1"/>
</calcChain>
</file>

<file path=xl/sharedStrings.xml><?xml version="1.0" encoding="utf-8"?>
<sst xmlns="http://schemas.openxmlformats.org/spreadsheetml/2006/main" count="605" uniqueCount="364">
  <si>
    <t>PREVISIÓN</t>
  </si>
  <si>
    <t>PRESUPUESTO DE EXPLOTACIÓN</t>
  </si>
  <si>
    <t>A) OPERACIONES CONTINUADAS</t>
  </si>
  <si>
    <t>+</t>
  </si>
  <si>
    <t>+/-</t>
  </si>
  <si>
    <t>-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</si>
  <si>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</si>
  <si>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</si>
  <si>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</si>
  <si>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</si>
  <si>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</si>
  <si>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</si>
  <si>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a) Sueldos, salarios y asimilados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</si>
  <si>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</si>
  <si>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</si>
  <si>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</si>
  <si>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</si>
  <si>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a) Deterioros y pérdidas</t>
  </si>
  <si>
    <t>b) Resultados por enajenaciones y otras</t>
  </si>
  <si>
    <t>15. OTROS RESULTADOS</t>
  </si>
  <si>
    <t>=</t>
  </si>
  <si>
    <t>16. INGRESOS FINANCIEROS:</t>
  </si>
  <si>
    <t>a) De participaciones en instrumentos de patrimonio</t>
  </si>
  <si>
    <t xml:space="preserve">     a2) En terceros</t>
  </si>
  <si>
    <t>b) De valores negociables y otros instrumentos financieros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</si>
  <si>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</si>
  <si>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</si>
  <si>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</si>
  <si>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</si>
  <si>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</si>
  <si>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</si>
  <si>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</si>
  <si>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</si>
  <si>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</si>
  <si>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</si>
  <si>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23. IMPUESTO SOBRE BENEFICIOS</t>
  </si>
  <si>
    <t>B) OPERACIONES INTERRUMPIDAS</t>
  </si>
  <si>
    <t>PRESUPUESTO DE CAPITAL</t>
  </si>
  <si>
    <t>A) FLUJOS DE EFECTIVO DE LAS ACTIVIDADES DE EXPLOTACIÓN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</si>
  <si>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</si>
  <si>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</si>
  <si>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</si>
  <si>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</si>
  <si>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</si>
  <si>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</si>
  <si>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</si>
  <si>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</si>
  <si>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</si>
  <si>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</si>
  <si>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</si>
  <si>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</si>
  <si>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</si>
  <si>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</si>
  <si>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</si>
  <si>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</si>
  <si>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</si>
  <si>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</si>
  <si>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</si>
  <si>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</si>
  <si>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</si>
  <si>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</si>
  <si>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</si>
  <si>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</si>
  <si>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</si>
  <si>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</si>
  <si>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</si>
  <si>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</si>
  <si>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</si>
  <si>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</si>
  <si>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</si>
  <si>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</si>
  <si>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b) Inmovilizado intangible</t>
  </si>
  <si>
    <t>c) Inmovilizado material</t>
  </si>
  <si>
    <t xml:space="preserve">7. COBROS POR DESINVERSIONES </t>
  </si>
  <si>
    <t>C) FLUJOS DE EFECTIVO DE LAS ACTIVIDADES DE FINANCIACIÓN</t>
  </si>
  <si>
    <t>10. COBROS Y PAGOS POR INSTRUMENTOS DE PASIVO FINANCIERO</t>
  </si>
  <si>
    <t xml:space="preserve">a) Emisión </t>
  </si>
  <si>
    <t xml:space="preserve">     2. Deudas con entidades de crédito </t>
  </si>
  <si>
    <t>b) Devolución y amortización de</t>
  </si>
  <si>
    <t xml:space="preserve">D) EFECTO DE LAS VARIACIONES DE LOS TIPOS DE CAMBIO 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</si>
  <si>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</si>
  <si>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</si>
  <si>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</si>
  <si>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</si>
  <si>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</si>
  <si>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</si>
  <si>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</si>
  <si>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</si>
  <si>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</si>
  <si>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</si>
  <si>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</si>
  <si>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</si>
  <si>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</si>
  <si>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</si>
  <si>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</si>
  <si>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 xml:space="preserve">1. Instrumentos de patrimonio </t>
  </si>
  <si>
    <t>3. Valores representativos de deuda</t>
  </si>
  <si>
    <t>4. Derivados</t>
  </si>
  <si>
    <t>5. Otros activos financieros</t>
  </si>
  <si>
    <t>2. Créditos a terceros</t>
  </si>
  <si>
    <t>B) ACTIVO CORRIENTE</t>
  </si>
  <si>
    <t>I. ACTIVOS NO CORRIENTES MANTENIDOS PARA LA VENTA</t>
  </si>
  <si>
    <t>II. EXISTENCIAS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</si>
  <si>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</si>
  <si>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</si>
  <si>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</si>
  <si>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</si>
  <si>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</si>
  <si>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1. Clientes por ventas y prestaciones de servicios</t>
  </si>
  <si>
    <t>3. Deudores varios</t>
  </si>
  <si>
    <t>4. Personal</t>
  </si>
  <si>
    <t>5. Activos por impuesto corriente</t>
  </si>
  <si>
    <t>6. Otros créditos con las Administraciones Públicas</t>
  </si>
  <si>
    <t>1. Tesorería</t>
  </si>
  <si>
    <t>2. Otros activos líquidos equivalentes</t>
  </si>
  <si>
    <t>TOTAL ACTIVO</t>
  </si>
  <si>
    <t>A) PATRIMONIO NETO</t>
  </si>
  <si>
    <t>A1) FONDOS PROPIOS</t>
  </si>
  <si>
    <t>2. Otras reservas</t>
  </si>
  <si>
    <t>1. Remanente</t>
  </si>
  <si>
    <t>A2) AJUSTES POR CAMBIOS DE VALOR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</si>
  <si>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</si>
  <si>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</si>
  <si>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</si>
  <si>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</si>
  <si>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</si>
  <si>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</si>
  <si>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</si>
  <si>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</si>
  <si>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</si>
  <si>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</si>
  <si>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</si>
  <si>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</si>
  <si>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</si>
  <si>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</si>
  <si>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</si>
  <si>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</si>
  <si>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</si>
  <si>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</si>
  <si>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</si>
  <si>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1. Proveedores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</si>
  <si>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</si>
  <si>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</si>
  <si>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</si>
  <si>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</si>
  <si>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</si>
  <si>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</si>
  <si>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</si>
  <si>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</si>
  <si>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</si>
  <si>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</si>
  <si>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</si>
  <si>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</si>
  <si>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</si>
  <si>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</si>
  <si>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</si>
  <si>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</si>
  <si>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</si>
  <si>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</si>
  <si>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</si>
  <si>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</si>
  <si>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</si>
  <si>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</si>
  <si>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</si>
  <si>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</si>
  <si>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</si>
  <si>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</si>
  <si>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</si>
  <si>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</si>
  <si>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</si>
  <si>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</si>
  <si>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</si>
  <si>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</si>
  <si>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</si>
  <si>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</si>
  <si>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</si>
  <si>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</si>
  <si>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</si>
  <si>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</si>
  <si>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</si>
  <si>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</si>
  <si>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</si>
  <si>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</si>
  <si>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</si>
  <si>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</si>
  <si>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</si>
  <si>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</si>
  <si>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</si>
  <si>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</si>
  <si>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</si>
  <si>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</si>
  <si>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</si>
  <si>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</si>
  <si>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</si>
  <si>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</si>
  <si>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</si>
  <si>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</si>
  <si>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</si>
  <si>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</si>
  <si>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</si>
  <si>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</si>
  <si>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</si>
  <si>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</si>
  <si>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</si>
  <si>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</si>
  <si>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</si>
  <si>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</si>
  <si>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</si>
  <si>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</si>
  <si>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</si>
  <si>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</si>
  <si>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</si>
  <si>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</si>
  <si>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HVV</t>
  </si>
  <si>
    <t>1. EXCEDENTE DEL EJERCICIO ANTES DE IMPUESTOS</t>
  </si>
  <si>
    <t>a) Entidades del grupo y asociadas</t>
  </si>
  <si>
    <t>h) Otros activos</t>
  </si>
  <si>
    <t>f) Otros activos financieros</t>
  </si>
  <si>
    <t>e) Inversiones inmobiliarias</t>
  </si>
  <si>
    <t>d) Bienes del Patrimonio Histórico</t>
  </si>
  <si>
    <t>9. COBROS Y PAGOS POR OPERACIONES DE PATRIMONIO</t>
  </si>
  <si>
    <t xml:space="preserve">     1. Obligaciones y otros valores negociables</t>
  </si>
  <si>
    <t xml:space="preserve">     3. Deudas con entidades del grupo y asociadas </t>
  </si>
  <si>
    <t xml:space="preserve">     4. Otras deudas</t>
  </si>
  <si>
    <t>11. FLUJOS DE EFECTIVO DE LAS ACTIVIDADES DE FINANCIACIÓN (+/-9+/-10)</t>
  </si>
  <si>
    <t>E) AUMENTO / DISMINUCION NETA DEL EFECTIVO O EQUIVALENTES (+/-5+/-8+/-11+/-D)</t>
  </si>
  <si>
    <t xml:space="preserve">     6. Otras deudas</t>
  </si>
  <si>
    <t xml:space="preserve">     5. Préstamos procedentes del Sector Público</t>
  </si>
  <si>
    <t>a) Aportaciones a la dotación fundacional o fondo social</t>
  </si>
  <si>
    <t>b) Disminuciones del fondo social</t>
  </si>
  <si>
    <t xml:space="preserve">c) Subvenciones, donaciones y legados recibidos </t>
  </si>
  <si>
    <t>IV. INVERSIONES INMOBILIARIAS</t>
  </si>
  <si>
    <t>III.INMOVILIZADO MATERIAL</t>
  </si>
  <si>
    <t>II. BIENES DEL PATRIMONIO HISTÓRICO</t>
  </si>
  <si>
    <t>1. Bienes inmuebles</t>
  </si>
  <si>
    <t>2. Archivos</t>
  </si>
  <si>
    <t>3. Bibliotecas</t>
  </si>
  <si>
    <t>4. Museos</t>
  </si>
  <si>
    <t>5. Bienes muebles</t>
  </si>
  <si>
    <t>6. Anticipo sobre bienes del Patrimonio Histórico</t>
  </si>
  <si>
    <t>2. Créditos a entidades</t>
  </si>
  <si>
    <t>V. INVERSIONES EN ENTIDADES DEL GRUPO Y ASOCIADAS A LARGO PLAZO</t>
  </si>
  <si>
    <t>VI. INVERSIONES FINANCIERAS A LARGO PLAZO</t>
  </si>
  <si>
    <t>VII. ACTIVOS POR IMPUESTO DIFERIDO</t>
  </si>
  <si>
    <t>1. Bienes destinados a la actividad</t>
  </si>
  <si>
    <t>7. Fundadores por desembolsos exigidos</t>
  </si>
  <si>
    <t>2. Clientes, entidades del grupo y asociadas</t>
  </si>
  <si>
    <t>III. USUARIOS Y OTROS DEUDORES DE LA ACTIVIDAD PROPIA</t>
  </si>
  <si>
    <t>1. Entidades del grupo</t>
  </si>
  <si>
    <t>2. Entidades asociadas</t>
  </si>
  <si>
    <t>3.Otros</t>
  </si>
  <si>
    <t>IV. DEUDORES COMERCIALES Y OTRAS CUENTAS A COBRAR</t>
  </si>
  <si>
    <t>V. INVERSIONES EN ENTIDADES DEL GRUPO Y ASOCIADAS</t>
  </si>
  <si>
    <t>VI. INVERSIONES FINANCIERAS A CORTO PLAZO</t>
  </si>
  <si>
    <t>VII. PERIODIFICACIONES</t>
  </si>
  <si>
    <t>I. DOTACIÓN FUNDACIONAL / FONDO SOCIAL</t>
  </si>
  <si>
    <t>1. Dotación fundacional/Fondo social</t>
  </si>
  <si>
    <t>2. (Dotación fundacional no exigido/Fondo social no exigido)</t>
  </si>
  <si>
    <t>II. RESERVAS</t>
  </si>
  <si>
    <t>1. Estatutarias</t>
  </si>
  <si>
    <t>III. EXCEDENTES DE EJERCICIOS ANTERIORES</t>
  </si>
  <si>
    <t>2. (Excedentes negativos de ejercicios anteriores)</t>
  </si>
  <si>
    <t>IV. EXCEDENTE DEL EJERCICIO</t>
  </si>
  <si>
    <t>I. ACTIVOS FINANCIEROS DISPONIBLES PARA LA VENTA</t>
  </si>
  <si>
    <t>I. SUBVENCIONES</t>
  </si>
  <si>
    <t>II. DONACIONES Y LEGADOS</t>
  </si>
  <si>
    <t>III. DEUDAS CON ENTIDADES DEL GRUPO Y ASOCIADAS A LARGO PLAZO</t>
  </si>
  <si>
    <t>IV. DEUDAS CON ENTIDADES DEL GRUPO Y ASOCIADAS</t>
  </si>
  <si>
    <t>2. Proveedores, eentidades del grupo y asociadas</t>
  </si>
  <si>
    <t>7. Anticipos recibidos por pedidos</t>
  </si>
  <si>
    <t>VI. ACREEDORES COMERCIALES Y OTRAS CUENTAS A PAGAR</t>
  </si>
  <si>
    <t>1. INGRESOS DE LA ACTIVIDAD PROPIA:</t>
  </si>
  <si>
    <t>a) Cuotas de asociados  y afiliados</t>
  </si>
  <si>
    <t>b) Aportaciones de usuarios</t>
  </si>
  <si>
    <t>c) Ingresos de promociones, patrocinadores y colaboraciones</t>
  </si>
  <si>
    <t>d) Subvenciones, donaciones y legados incorporados al excedente del ejercicio</t>
  </si>
  <si>
    <t>e) Reintegro de ayudas y asignaciones</t>
  </si>
  <si>
    <t>2. VENTAS Y OTROS INGRESOS ORDINARIOS DE LA ACTIVIDAD MERCANTIL</t>
  </si>
  <si>
    <t>3. GASTOS POR AYUDAS Y OTROS:</t>
  </si>
  <si>
    <t>4. VARIACIÓN DE EXISTENCIAS DE PRODUCTOS TERMINADOS Y EN CURSO DE FABRICACIÓN</t>
  </si>
  <si>
    <t>5. TRABAJOS REALIZADOS POR LA ENTIDAD PARA SU ACTIVO</t>
  </si>
  <si>
    <t>6. APROVISIONAMIENTOS</t>
  </si>
  <si>
    <t>8. GASTOS DE PERSONAL:</t>
  </si>
  <si>
    <t>9. OTROS GASTOS DE LA ACTIVIDAD:</t>
  </si>
  <si>
    <t>b) Indemnizaciones</t>
  </si>
  <si>
    <t>c) Cargas sociales</t>
  </si>
  <si>
    <t>d) Provisiones</t>
  </si>
  <si>
    <t>10. AMORTIZACIÓN DE INMOVILIZADO</t>
  </si>
  <si>
    <t>11. SUBVENCIONES, DONACIONES Y LEGADOS DE CAPITAL TRASPASADOS AL EXCEDENTE DEL EJERCICIO</t>
  </si>
  <si>
    <t>12. EXCESO DE PROVISIONES</t>
  </si>
  <si>
    <t>13. DETERIORO Y RESULTADO POR ENAJENACIONES DEL INMOVILIZADO:</t>
  </si>
  <si>
    <t>14. DIFERENCIA NEGATIVA POR COMBINACIONES DE NEGOCIOS</t>
  </si>
  <si>
    <t xml:space="preserve">     a1) En entidades del grupo y asociadas</t>
  </si>
  <si>
    <t xml:space="preserve">     b1) De entidades del grupo y asociadas</t>
  </si>
  <si>
    <t>b) Imputación al excedente del ejercicio por activos financieros disponibles para la venta</t>
  </si>
  <si>
    <t>24. EXCEDENTE DEL EJERCICIO PROCEDENTE DE OPERACIONES INTERRUMPIDAS NETO DE IMPUESTOS</t>
  </si>
  <si>
    <t>A4) EXCEDENTE DEL EJERCICIO PROCEDENTE DE OPERACIONES CONTINUADAS (A3-23)</t>
  </si>
  <si>
    <t>A3) EXCEDENTE ANTES DE IMPUESTOS (A1+A2)</t>
  </si>
  <si>
    <t>A5)VARIACIÓN DE PATRIMONIO NETO RECONOCIDA EN EL EXCEDENTE DEL EJERCICIO (A4+/-24)</t>
  </si>
  <si>
    <t>C) INGRESOS Y GASTOS IMPUTADOS DIRECTAMENTE AL PATRIMONIO NETO</t>
  </si>
  <si>
    <t>1. ACTIVOS FINANCIEROS DISPONIBLES PARA LA VENTA</t>
  </si>
  <si>
    <t>2. OPERACIONES DE COBERTURA DE FLUJOS DE EFECTIVO</t>
  </si>
  <si>
    <t>3. SUBVENCIONES, DONACIONES Y LEGADOS RECIBIDOS</t>
  </si>
  <si>
    <t>5. EFECTO IMPOSITIVO</t>
  </si>
  <si>
    <t>4.GANANCIAS Y PÉRDIDAS ACTUARIALES Y OTROS AJUSTES</t>
  </si>
  <si>
    <t>C1) VARIACIÓN DE PATRIMONIO NETO POR INGRESOS Y GASTOS RECONOCIDOS DIRECTAMENTE EN EL PATRIMONIO NETO (1+2+3+4+5)</t>
  </si>
  <si>
    <t>D) RECLASIFICACIONES AL EXCEDENTE DEL EJERCICIO</t>
  </si>
  <si>
    <t>D1) VARIACIÓN DE PATRIMONIO NETO POR RECLASIFICACIONES AL EXCEDENTE DEL EJERCICIO (1+2+3+4+5)</t>
  </si>
  <si>
    <t>E) VARIACIONES DE PATRIMONIO NETO POR INGRESOS Y GASTOS IMPUTADOS DIRECTAMENTE AL PATRIMOIO NETO (C1+D1)</t>
  </si>
  <si>
    <t>F) AJUSTES POR CAMBIOS DE CRITERIO</t>
  </si>
  <si>
    <t>G) AJUSTES POR ERRORES</t>
  </si>
  <si>
    <t>H) VARIACIONES EN LA DOTACIÓN FUNDACIONAL O FONDO SOCIAL</t>
  </si>
  <si>
    <t>I) OTRAS VARIACIONES</t>
  </si>
  <si>
    <t>J) RESULTADO TOTAL, VARIACIÓN DEL PATRIMONIO NETO EN EL EJERCICIO (A5+E+F+G+H+I)</t>
  </si>
  <si>
    <t xml:space="preserve">     4. Deudas transformables en subvenciones, donaciones y legados</t>
  </si>
  <si>
    <t>6. Derechos sobre activos cedidos en uso</t>
  </si>
  <si>
    <t>7. Otro inmovilizado intangible</t>
  </si>
  <si>
    <t>g) Activos no corrientes mantenidos para la venta</t>
  </si>
  <si>
    <t>FUNDACIÓN INSTITUTO DE INVESTIGACIÓN MARQUÉS DE VALDECILLA</t>
  </si>
  <si>
    <t>IDIVAL</t>
  </si>
  <si>
    <t>EL SOPLAO, S.L.</t>
  </si>
  <si>
    <t>ELSOPLAO</t>
  </si>
  <si>
    <t>SOCIEDAD REGIONAL DE EDUCACIÓN, CULTURA Y DEPORTE, S.L.</t>
  </si>
  <si>
    <t>SRECD</t>
  </si>
  <si>
    <t/>
  </si>
  <si>
    <t>V. PERIODIFICACIONES A LARGO PLAZO</t>
  </si>
  <si>
    <t>a) Ayudas monetarias</t>
  </si>
  <si>
    <t>b) Ayudas no monetarias</t>
  </si>
  <si>
    <t>c) Gastos por colaboraciones y del órgano de gobierno</t>
  </si>
  <si>
    <t>d) Reintegro de subvenciones, donaciones y legados</t>
  </si>
  <si>
    <t>22. INCORPORACIÓN AL ACTIVO DE GASTOS FINANCIEROS</t>
  </si>
  <si>
    <t>7. OTROS INGRESOS DE LA ACTIVIDAD</t>
  </si>
  <si>
    <t>V. BENEFICIARIOS - ACREEDORES</t>
  </si>
  <si>
    <t>VIII. EFECTIVO Y OTROS ACTIVOS LíQUIDOS EQUIVALENTES</t>
  </si>
  <si>
    <t>FUNDACIÓN COMILLAS DEL ESPAÑOL Y LA CULTURA HISPÁNICA</t>
  </si>
  <si>
    <t>FCL</t>
  </si>
  <si>
    <t>FUNDACIÓN CAMINO LEBANIEGO</t>
  </si>
  <si>
    <t>REAL</t>
  </si>
  <si>
    <t>A1) EXCEDENTE DE LA ACTIVIDAD (1+/-2+3-4+5-6-7-8+9+10+/-11-12-13-14+/-15)</t>
  </si>
  <si>
    <t>A2) EXCEDENTE DE LAS OPERACIONES FINANCIERAS (16-17+/-18+/-19+/-20+21+22)</t>
  </si>
  <si>
    <t>CHECK FLUJOS DE EFECTIVO</t>
  </si>
  <si>
    <t>CHECK BALANCE</t>
  </si>
  <si>
    <t>FUNDACIONCOMILLAS</t>
  </si>
  <si>
    <t>FONDO DE DERRIBOS DEL GOBIERNO DE CANTABRIA</t>
  </si>
  <si>
    <t>FD</t>
  </si>
  <si>
    <t>OPECANTABRIA</t>
  </si>
  <si>
    <t>OFICINA DE PROYECTOS EUROPEOS DEL GOBIERNO DE CANTABRIA</t>
  </si>
  <si>
    <t>SER</t>
  </si>
  <si>
    <t>SOCIEDAD REGIONAL DE EDUCACIÓN,M.P.,S.L.</t>
  </si>
  <si>
    <t>ABEREKIN, S.A.</t>
  </si>
  <si>
    <t>ABK</t>
  </si>
  <si>
    <t>PARQUE EMPRESARIAL CANTABRIA, SL.</t>
  </si>
  <si>
    <t>PECAN</t>
  </si>
  <si>
    <t>FUNDACIÓN MARQUÉS DE VALDECILLA, MEDIO PROPIO</t>
  </si>
  <si>
    <t>FUNDACIÓN DE INVESTIGACIÓN Y TRANSFERENCIA DE CANTABRIA F.S.P.</t>
  </si>
  <si>
    <t>FINTRACA</t>
  </si>
  <si>
    <t>FUNDACIÓN LEONARDO TORRES QUEVEDO</t>
  </si>
  <si>
    <t>FLTQ</t>
  </si>
  <si>
    <t>Raúl Medina Santamaría</t>
  </si>
  <si>
    <t>Carlos</t>
  </si>
  <si>
    <t>Gutiérrez</t>
  </si>
  <si>
    <t>Abascal</t>
  </si>
  <si>
    <t>20193170K</t>
  </si>
  <si>
    <t>carlos.gutierrez@unican.es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</si>
</sst>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6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20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25" fillId="22" borderId="0" applyNumberFormat="0" applyBorder="0" applyAlignment="0" applyProtection="0"/>
    <xf numFmtId="0" fontId="2" fillId="23" borderId="7" applyNumberFormat="0" applyFont="0" applyAlignment="0" applyProtection="0"/>
    <xf numFmtId="0" fontId="1" fillId="23" borderId="7" applyNumberFormat="0" applyFont="0" applyAlignment="0" applyProtection="0"/>
    <xf numFmtId="0" fontId="26" fillId="20" borderId="8" applyNumberForma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9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5" fillId="24" borderId="0" xfId="0" applyFont="1" applyFill="1"/>
    <xf numFmtId="0" fontId="0" fillId="24" borderId="0" xfId="0" applyFill="1"/>
    <xf numFmtId="0" fontId="3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26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6" fillId="25" borderId="0" xfId="64" applyFill="1" applyAlignment="1" applyProtection="1">
      <protection locked="0"/>
    </xf>
    <xf numFmtId="0" fontId="7" fillId="27" borderId="0" xfId="0" applyFont="1" applyFill="1"/>
    <xf numFmtId="0" fontId="0" fillId="27" borderId="0" xfId="0" applyFill="1"/>
    <xf numFmtId="0" fontId="8" fillId="27" borderId="0" xfId="0" applyFont="1" applyFill="1"/>
    <xf numFmtId="0" fontId="10" fillId="27" borderId="0" xfId="0" applyFont="1" applyFill="1"/>
    <xf numFmtId="0" fontId="9" fillId="27" borderId="0" xfId="0" applyFont="1" applyFill="1"/>
    <xf numFmtId="0" fontId="11" fillId="27" borderId="0" xfId="0" applyFont="1" applyFill="1"/>
    <xf numFmtId="0" fontId="30" fillId="0" borderId="0" xfId="0" applyFont="1"/>
    <xf numFmtId="4" fontId="30" fillId="0" borderId="0" xfId="0" applyNumberFormat="1" applyFont="1"/>
    <xf numFmtId="49" fontId="30" fillId="0" borderId="0" xfId="0" applyNumberFormat="1" applyFont="1"/>
    <xf numFmtId="0" fontId="31" fillId="0" borderId="0" xfId="0" applyFont="1"/>
    <xf numFmtId="3" fontId="30" fillId="0" borderId="0" xfId="0" applyNumberFormat="1" applyFont="1"/>
    <xf numFmtId="0" fontId="33" fillId="0" borderId="0" xfId="0" applyFont="1"/>
    <xf numFmtId="0" fontId="34" fillId="0" borderId="0" xfId="0" applyFont="1"/>
    <xf numFmtId="0" fontId="32" fillId="0" borderId="0" xfId="0" applyFont="1"/>
    <xf numFmtId="0" fontId="35" fillId="0" borderId="0" xfId="0" applyFont="1"/>
    <xf numFmtId="3" fontId="35" fillId="0" borderId="0" xfId="0" applyNumberFormat="1" applyFont="1"/>
    <xf numFmtId="3" fontId="32" fillId="0" borderId="0" xfId="0" applyNumberFormat="1" applyFont="1"/>
    <xf numFmtId="0" fontId="37" fillId="0" borderId="0" xfId="0" applyFont="1"/>
    <xf numFmtId="3" fontId="37" fillId="0" borderId="0" xfId="0" applyNumberFormat="1" applyFont="1"/>
    <xf numFmtId="49" fontId="36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right"/>
    </xf>
    <xf numFmtId="49" fontId="34" fillId="0" borderId="0" xfId="0" applyNumberFormat="1" applyFont="1"/>
    <xf numFmtId="49" fontId="34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49" fontId="32" fillId="0" borderId="0" xfId="0" applyNumberFormat="1" applyFont="1"/>
    <xf numFmtId="3" fontId="32" fillId="0" borderId="0" xfId="0" applyNumberFormat="1" applyFont="1" applyAlignment="1">
      <alignment horizontal="right"/>
    </xf>
    <xf numFmtId="0" fontId="38" fillId="0" borderId="0" xfId="0" applyFont="1"/>
    <xf numFmtId="3" fontId="30" fillId="0" borderId="0" xfId="0" applyNumberFormat="1" applyFont="1" applyAlignment="1" applyProtection="1">
      <alignment horizontal="right"/>
      <protection locked="0"/>
    </xf>
    <xf numFmtId="49" fontId="39" fillId="0" borderId="0" xfId="0" applyNumberFormat="1" applyFont="1"/>
    <xf numFmtId="49" fontId="39" fillId="0" borderId="0" xfId="0" applyNumberFormat="1" applyFont="1" applyAlignment="1">
      <alignment horizontal="right"/>
    </xf>
    <xf numFmtId="3" fontId="39" fillId="0" borderId="0" xfId="0" applyNumberFormat="1" applyFont="1" applyAlignment="1">
      <alignment horizontal="right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4" fontId="44" fillId="0" borderId="0" xfId="0" applyNumberFormat="1" applyFont="1"/>
    <xf numFmtId="3" fontId="44" fillId="0" borderId="0" xfId="0" applyNumberFormat="1" applyFont="1"/>
    <xf numFmtId="0" fontId="43" fillId="0" borderId="0" xfId="0" applyFont="1"/>
    <xf numFmtId="3" fontId="42" fillId="0" borderId="0" xfId="0" applyNumberFormat="1" applyFont="1"/>
    <xf numFmtId="3" fontId="43" fillId="0" borderId="0" xfId="0" applyNumberFormat="1" applyFont="1"/>
    <xf numFmtId="0" fontId="45" fillId="0" borderId="0" xfId="0" applyFont="1"/>
    <xf numFmtId="4" fontId="42" fillId="0" borderId="0" xfId="0" applyNumberFormat="1" applyFont="1"/>
    <xf numFmtId="0" fontId="3" fillId="0" borderId="0" xfId="0" applyFont="1"/>
    <xf numFmtId="0" fontId="46" fillId="0" borderId="0" xfId="0" applyFont="1" applyAlignment="1">
      <alignment horizontal="center"/>
    </xf>
    <xf numFmtId="4" fontId="3" fillId="0" borderId="0" xfId="0" applyNumberFormat="1" applyFont="1"/>
    <xf numFmtId="0" fontId="47" fillId="0" borderId="0" xfId="0" applyFont="1"/>
    <xf numFmtId="4" fontId="47" fillId="0" borderId="0" xfId="0" applyNumberFormat="1" applyFont="1"/>
    <xf numFmtId="0" fontId="48" fillId="0" borderId="0" xfId="0" applyFont="1"/>
    <xf numFmtId="3" fontId="47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 applyAlignment="1">
      <alignment horizontal="center"/>
    </xf>
    <xf numFmtId="3" fontId="49" fillId="26" borderId="0" xfId="0" applyNumberFormat="1" applyFont="1" applyFill="1"/>
    <xf numFmtId="0" fontId="51" fillId="0" borderId="0" xfId="0" applyFont="1"/>
    <xf numFmtId="3" fontId="49" fillId="0" borderId="0" xfId="0" applyNumberFormat="1" applyFont="1"/>
    <xf numFmtId="0" fontId="52" fillId="0" borderId="0" xfId="0" applyFont="1"/>
    <xf numFmtId="0" fontId="52" fillId="0" borderId="0" xfId="0" applyFont="1" applyAlignment="1">
      <alignment horizontal="center"/>
    </xf>
    <xf numFmtId="3" fontId="52" fillId="25" borderId="0" xfId="0" applyNumberFormat="1" applyFont="1" applyFill="1"/>
    <xf numFmtId="0" fontId="53" fillId="0" borderId="0" xfId="0" applyFont="1"/>
    <xf numFmtId="3" fontId="52" fillId="25" borderId="0" xfId="0" applyNumberFormat="1" applyFont="1" applyFill="1" applyProtection="1">
      <protection locked="0"/>
    </xf>
    <xf numFmtId="3" fontId="53" fillId="0" borderId="0" xfId="0" applyNumberFormat="1" applyFont="1"/>
    <xf numFmtId="0" fontId="49" fillId="0" borderId="10" xfId="0" applyFont="1" applyBorder="1"/>
    <xf numFmtId="0" fontId="50" fillId="0" borderId="11" xfId="0" applyFont="1" applyBorder="1" applyAlignment="1">
      <alignment horizontal="center"/>
    </xf>
    <xf numFmtId="3" fontId="49" fillId="26" borderId="11" xfId="0" applyNumberFormat="1" applyFont="1" applyFill="1" applyBorder="1"/>
    <xf numFmtId="3" fontId="49" fillId="26" borderId="12" xfId="0" applyNumberFormat="1" applyFont="1" applyFill="1" applyBorder="1"/>
    <xf numFmtId="0" fontId="54" fillId="0" borderId="0" xfId="0" applyFont="1"/>
    <xf numFmtId="3" fontId="54" fillId="0" borderId="0" xfId="0" applyNumberFormat="1" applyFont="1"/>
    <xf numFmtId="0" fontId="55" fillId="0" borderId="0" xfId="0" applyFont="1"/>
    <xf numFmtId="0" fontId="4" fillId="0" borderId="0" xfId="0" applyFont="1"/>
    <xf numFmtId="3" fontId="52" fillId="26" borderId="0" xfId="0" applyNumberFormat="1" applyFont="1" applyFill="1"/>
    <xf numFmtId="0" fontId="56" fillId="0" borderId="0" xfId="0" applyFont="1"/>
    <xf numFmtId="3" fontId="56" fillId="25" borderId="0" xfId="0" applyNumberFormat="1" applyFont="1" applyFill="1" applyProtection="1">
      <protection locked="0"/>
    </xf>
    <xf numFmtId="3" fontId="49" fillId="25" borderId="0" xfId="0" applyNumberFormat="1" applyFont="1" applyFill="1" applyProtection="1">
      <protection locked="0"/>
    </xf>
    <xf numFmtId="3" fontId="52" fillId="0" borderId="0" xfId="0" applyNumberFormat="1" applyFont="1"/>
    <xf numFmtId="3" fontId="53" fillId="25" borderId="0" xfId="0" applyNumberFormat="1" applyFont="1" applyFill="1" applyProtection="1">
      <protection locked="0"/>
    </xf>
    <xf numFmtId="3" fontId="53" fillId="25" borderId="0" xfId="0" applyNumberFormat="1" applyFont="1" applyFill="1"/>
    <xf numFmtId="3" fontId="53" fillId="26" borderId="0" xfId="0" applyNumberFormat="1" applyFont="1" applyFill="1"/>
    <xf numFmtId="3" fontId="4" fillId="25" borderId="0" xfId="0" applyNumberFormat="1" applyFont="1" applyFill="1" applyProtection="1">
      <protection locked="0"/>
    </xf>
    <xf numFmtId="49" fontId="4" fillId="0" borderId="0" xfId="0" applyNumberFormat="1" applyFont="1"/>
    <xf numFmtId="0" fontId="57" fillId="0" borderId="0" xfId="0" applyFont="1" applyAlignment="1">
      <alignment horizontal="right"/>
    </xf>
    <xf numFmtId="164" fontId="58" fillId="0" borderId="0" xfId="0" applyNumberFormat="1" applyFont="1" applyAlignment="1">
      <alignment horizontal="right"/>
    </xf>
    <xf numFmtId="0" fontId="59" fillId="0" borderId="0" xfId="0" applyFont="1"/>
    <xf numFmtId="49" fontId="2" fillId="0" borderId="0" xfId="0" applyNumberFormat="1" applyFont="1"/>
    <xf numFmtId="49" fontId="60" fillId="0" borderId="0" xfId="0" applyNumberFormat="1" applyFont="1" applyAlignment="1">
      <alignment horizontal="right"/>
    </xf>
    <xf numFmtId="0" fontId="48" fillId="0" borderId="0" xfId="0" applyFont="1" applyAlignment="1">
      <alignment horizontal="left"/>
    </xf>
    <xf numFmtId="164" fontId="47" fillId="0" borderId="0" xfId="0" applyNumberFormat="1" applyFont="1" applyAlignment="1">
      <alignment horizontal="right"/>
    </xf>
    <xf numFmtId="0" fontId="58" fillId="0" borderId="0" xfId="0" applyFont="1"/>
    <xf numFmtId="0" fontId="58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2" fillId="0" borderId="0" xfId="0" applyNumberFormat="1" applyFont="1"/>
    <xf numFmtId="49" fontId="47" fillId="0" borderId="0" xfId="0" applyNumberFormat="1" applyFont="1"/>
    <xf numFmtId="0" fontId="61" fillId="0" borderId="0" xfId="0" applyFont="1"/>
    <xf numFmtId="4" fontId="61" fillId="0" borderId="0" xfId="0" applyNumberFormat="1" applyFont="1"/>
    <xf numFmtId="4" fontId="2" fillId="0" borderId="0" xfId="0" applyNumberFormat="1" applyFont="1" applyAlignment="1">
      <alignment horizontal="center"/>
    </xf>
    <xf numFmtId="49" fontId="48" fillId="0" borderId="0" xfId="0" applyNumberFormat="1" applyFont="1"/>
    <xf numFmtId="0" fontId="62" fillId="0" borderId="0" xfId="0" applyFont="1"/>
    <xf numFmtId="1" fontId="2" fillId="0" borderId="0" xfId="0" applyNumberFormat="1" applyFont="1" applyAlignment="1">
      <alignment horizontal="center"/>
    </xf>
    <xf numFmtId="3" fontId="47" fillId="28" borderId="0" xfId="0" applyNumberFormat="1" applyFont="1" applyFill="1"/>
    <xf numFmtId="3" fontId="2" fillId="0" borderId="0" xfId="0" applyNumberFormat="1" applyFont="1"/>
    <xf numFmtId="3" fontId="3" fillId="26" borderId="0" xfId="0" applyNumberFormat="1" applyFont="1" applyFill="1"/>
    <xf numFmtId="0" fontId="63" fillId="0" borderId="0" xfId="0" applyFont="1"/>
    <xf numFmtId="3" fontId="56" fillId="0" borderId="0" xfId="0" applyNumberFormat="1" applyFont="1" applyProtection="1">
      <protection locked="0"/>
    </xf>
    <xf numFmtId="3" fontId="3" fillId="25" borderId="0" xfId="0" applyNumberFormat="1" applyFont="1" applyFill="1" applyProtection="1">
      <protection locked="0"/>
    </xf>
    <xf numFmtId="3" fontId="56" fillId="0" borderId="0" xfId="0" applyNumberFormat="1" applyFont="1"/>
    <xf numFmtId="0" fontId="58" fillId="0" borderId="10" xfId="0" applyFont="1" applyBorder="1"/>
    <xf numFmtId="0" fontId="58" fillId="0" borderId="11" xfId="0" applyFont="1" applyBorder="1"/>
    <xf numFmtId="3" fontId="58" fillId="28" borderId="11" xfId="0" applyNumberFormat="1" applyFont="1" applyFill="1" applyBorder="1"/>
    <xf numFmtId="3" fontId="58" fillId="28" borderId="12" xfId="0" applyNumberFormat="1" applyFont="1" applyFill="1" applyBorder="1"/>
    <xf numFmtId="0" fontId="57" fillId="0" borderId="0" xfId="0" applyFont="1"/>
    <xf numFmtId="3" fontId="57" fillId="29" borderId="0" xfId="0" applyNumberFormat="1" applyFont="1" applyFill="1"/>
    <xf numFmtId="0" fontId="60" fillId="0" borderId="0" xfId="0" applyFont="1"/>
    <xf numFmtId="3" fontId="3" fillId="0" borderId="0" xfId="0" applyNumberFormat="1" applyFont="1"/>
    <xf numFmtId="3" fontId="57" fillId="0" borderId="0" xfId="0" applyNumberFormat="1" applyFont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6" fillId="0" borderId="0" xfId="0" applyFont="1"/>
    <xf numFmtId="0" fontId="59" fillId="0" borderId="11" xfId="0" applyFont="1" applyBorder="1"/>
    <xf numFmtId="49" fontId="3" fillId="0" borderId="0" xfId="0" applyNumberFormat="1" applyFont="1"/>
    <xf numFmtId="49" fontId="57" fillId="0" borderId="0" xfId="0" applyNumberFormat="1" applyFont="1" applyAlignment="1">
      <alignment horizontal="right"/>
    </xf>
    <xf numFmtId="3" fontId="3" fillId="26" borderId="0" xfId="0" applyNumberFormat="1" applyFont="1" applyFill="1" applyAlignment="1">
      <alignment horizontal="right"/>
    </xf>
    <xf numFmtId="49" fontId="56" fillId="0" borderId="0" xfId="0" applyNumberFormat="1" applyFont="1"/>
    <xf numFmtId="49" fontId="56" fillId="0" borderId="0" xfId="0" applyNumberFormat="1" applyFont="1" applyAlignment="1">
      <alignment horizontal="right"/>
    </xf>
    <xf numFmtId="3" fontId="56" fillId="25" borderId="0" xfId="0" applyNumberFormat="1" applyFont="1" applyFill="1" applyAlignment="1" applyProtection="1">
      <alignment horizontal="right"/>
      <protection locked="0"/>
    </xf>
    <xf numFmtId="3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wrapText="1"/>
    </xf>
    <xf numFmtId="3" fontId="3" fillId="25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3" fontId="3" fillId="26" borderId="0" xfId="0" applyNumberFormat="1" applyFont="1" applyFill="1" applyAlignment="1" applyProtection="1">
      <alignment horizontal="right"/>
      <protection locked="0"/>
    </xf>
    <xf numFmtId="3" fontId="56" fillId="26" borderId="0" xfId="0" applyNumberFormat="1" applyFont="1" applyFill="1" applyAlignment="1">
      <alignment horizontal="right"/>
    </xf>
    <xf numFmtId="49" fontId="63" fillId="0" borderId="0" xfId="0" applyNumberFormat="1" applyFont="1"/>
    <xf numFmtId="49" fontId="63" fillId="0" borderId="0" xfId="0" applyNumberFormat="1" applyFont="1" applyAlignment="1">
      <alignment horizontal="right"/>
    </xf>
    <xf numFmtId="3" fontId="63" fillId="25" borderId="0" xfId="0" applyNumberFormat="1" applyFont="1" applyFill="1" applyAlignment="1" applyProtection="1">
      <alignment horizontal="right"/>
      <protection locked="0"/>
    </xf>
    <xf numFmtId="3" fontId="47" fillId="28" borderId="0" xfId="0" applyNumberFormat="1" applyFont="1" applyFill="1" applyAlignment="1">
      <alignment horizontal="right"/>
    </xf>
    <xf numFmtId="49" fontId="47" fillId="0" borderId="0" xfId="0" applyNumberFormat="1" applyFont="1" applyAlignment="1">
      <alignment wrapText="1"/>
    </xf>
    <xf numFmtId="49" fontId="47" fillId="0" borderId="0" xfId="0" applyNumberFormat="1" applyFont="1" applyAlignment="1">
      <alignment horizontal="right"/>
    </xf>
    <xf numFmtId="49" fontId="58" fillId="0" borderId="0" xfId="0" applyNumberFormat="1" applyFont="1"/>
    <xf numFmtId="49" fontId="58" fillId="0" borderId="0" xfId="0" applyNumberFormat="1" applyFont="1" applyAlignment="1">
      <alignment horizontal="right"/>
    </xf>
    <xf numFmtId="3" fontId="58" fillId="0" borderId="0" xfId="0" applyNumberFormat="1" applyFont="1" applyAlignment="1">
      <alignment horizontal="right"/>
    </xf>
    <xf numFmtId="49" fontId="61" fillId="0" borderId="0" xfId="0" applyNumberFormat="1" applyFont="1" applyAlignment="1">
      <alignment horizontal="right"/>
    </xf>
    <xf numFmtId="3" fontId="61" fillId="0" borderId="0" xfId="0" applyNumberFormat="1" applyFont="1" applyAlignment="1">
      <alignment horizontal="right"/>
    </xf>
    <xf numFmtId="3" fontId="61" fillId="0" borderId="0" xfId="0" applyNumberFormat="1" applyFont="1"/>
    <xf numFmtId="49" fontId="47" fillId="0" borderId="0" xfId="0" applyNumberFormat="1" applyFont="1" applyAlignment="1">
      <alignment horizontal="center"/>
    </xf>
    <xf numFmtId="164" fontId="61" fillId="0" borderId="0" xfId="0" applyNumberFormat="1" applyFont="1" applyAlignment="1">
      <alignment horizontal="right"/>
    </xf>
    <xf numFmtId="49" fontId="61" fillId="0" borderId="0" xfId="0" applyNumberFormat="1" applyFont="1"/>
    <xf numFmtId="3" fontId="54" fillId="28" borderId="0" xfId="0" applyNumberFormat="1" applyFont="1" applyFill="1"/>
    <xf numFmtId="49" fontId="3" fillId="0" borderId="0" xfId="0" applyNumberFormat="1" applyFont="1" applyAlignment="1">
      <alignment horizontal="left" wrapText="1"/>
    </xf>
    <xf numFmtId="3" fontId="56" fillId="26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Protection="1">
      <protection locked="0"/>
    </xf>
    <xf numFmtId="3" fontId="47" fillId="28" borderId="0" xfId="0" applyNumberFormat="1" applyFont="1" applyFill="1" applyAlignment="1" applyProtection="1">
      <alignment horizontal="right"/>
      <protection locked="0"/>
    </xf>
    <xf numFmtId="3" fontId="47" fillId="28" borderId="0" xfId="0" applyNumberFormat="1" applyFont="1" applyFill="1" applyProtection="1">
      <protection locked="0"/>
    </xf>
    <xf numFmtId="3" fontId="47" fillId="0" borderId="0" xfId="0" applyNumberFormat="1" applyFont="1" applyAlignment="1" applyProtection="1">
      <alignment horizontal="right"/>
      <protection locked="0"/>
    </xf>
    <xf numFmtId="3" fontId="47" fillId="0" borderId="0" xfId="0" applyNumberFormat="1" applyFont="1" applyProtection="1">
      <protection locked="0"/>
    </xf>
    <xf numFmtId="3" fontId="32" fillId="0" borderId="0" xfId="0" applyNumberFormat="1" applyFont="1" applyProtection="1">
      <protection locked="0"/>
    </xf>
    <xf numFmtId="49" fontId="47" fillId="0" borderId="0" xfId="0" applyNumberFormat="1" applyFont="1" applyAlignment="1">
      <alignment horizontal="left" wrapText="1"/>
    </xf>
    <xf numFmtId="1" fontId="47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9" fontId="3" fillId="0" borderId="0" xfId="0" applyNumberFormat="1" applyFont="1" applyAlignment="1">
      <alignment vertical="center" wrapText="1"/>
    </xf>
    <xf numFmtId="49" fontId="56" fillId="0" borderId="0" xfId="0" applyNumberFormat="1" applyFont="1" applyAlignment="1">
      <alignment horizontal="left"/>
    </xf>
    <xf numFmtId="49" fontId="47" fillId="0" borderId="0" xfId="0" applyNumberFormat="1" applyFont="1" applyAlignment="1">
      <alignment vertical="center" wrapText="1"/>
    </xf>
    <xf numFmtId="0" fontId="54" fillId="0" borderId="0" xfId="0" applyFont="1" applyAlignment="1">
      <alignment wrapText="1"/>
    </xf>
    <xf numFmtId="0" fontId="64" fillId="0" borderId="0" xfId="0" applyFont="1" applyAlignment="1">
      <alignment horizontal="right"/>
    </xf>
    <xf numFmtId="0" fontId="1" fillId="0" borderId="0" xfId="0" applyFont="1"/>
    <xf numFmtId="4" fontId="3" fillId="0" borderId="10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0" fontId="62" fillId="0" borderId="20" xfId="0" applyFont="1" applyBorder="1"/>
    <xf numFmtId="0" fontId="2" fillId="0" borderId="20" xfId="0" applyFont="1" applyBorder="1"/>
    <xf numFmtId="0" fontId="46" fillId="0" borderId="20" xfId="0" applyFont="1" applyBorder="1" applyAlignment="1">
      <alignment horizontal="center"/>
    </xf>
    <xf numFmtId="49" fontId="63" fillId="0" borderId="21" xfId="0" applyNumberFormat="1" applyFont="1" applyBorder="1" applyAlignment="1">
      <alignment horizontal="right"/>
    </xf>
    <xf numFmtId="49" fontId="60" fillId="0" borderId="20" xfId="0" applyNumberFormat="1" applyFont="1" applyBorder="1" applyAlignment="1">
      <alignment horizontal="right"/>
    </xf>
    <xf numFmtId="0" fontId="57" fillId="0" borderId="20" xfId="0" applyFont="1" applyBorder="1" applyAlignment="1">
      <alignment horizontal="right"/>
    </xf>
    <xf numFmtId="0" fontId="1" fillId="26" borderId="0" xfId="0" quotePrefix="1" applyFont="1" applyFill="1" applyAlignment="1">
      <alignment horizontal="left"/>
    </xf>
    <xf numFmtId="1" fontId="47" fillId="0" borderId="22" xfId="0" applyNumberFormat="1" applyFont="1" applyBorder="1" applyAlignment="1">
      <alignment horizontal="center"/>
    </xf>
    <xf numFmtId="1" fontId="47" fillId="0" borderId="13" xfId="0" applyNumberFormat="1" applyFont="1" applyBorder="1" applyAlignment="1">
      <alignment horizontal="center"/>
    </xf>
    <xf numFmtId="0" fontId="11" fillId="27" borderId="0" xfId="0" applyFont="1" applyFill="1" applyAlignment="1">
      <alignment horizontal="justify" vertical="center" wrapText="1"/>
    </xf>
    <xf numFmtId="0" fontId="11" fillId="27" borderId="0" xfId="0" applyFont="1" applyFill="1" applyAlignment="1">
      <alignment horizontal="justify" vertical="center"/>
    </xf>
    <xf numFmtId="49" fontId="47" fillId="0" borderId="0" xfId="0" applyNumberFormat="1" applyFont="1" applyAlignment="1">
      <alignment horizontal="left" vertical="center" wrapText="1" shrinkToFit="1"/>
    </xf>
    <xf numFmtId="49" fontId="47" fillId="0" borderId="0" xfId="0" applyNumberFormat="1" applyFont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2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2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47"/>
  <sheetViews>
    <sheetView topLeftCell="A18" workbookViewId="0">
      <selection activeCell="B30" sqref="B30:C31"/>
    </sheetView>
  </sheetViews>
  <sheetFormatPr baseColWidth="10" defaultRowHeight="13" x14ac:dyDescent="0.15"/>
  <cols>
    <col min="1" max="1" width="17.5" customWidth="1"/>
    <col min="2" max="2" width="31.1640625" customWidth="1"/>
    <col min="3" max="3" width="81.83203125" customWidth="1"/>
    <col min="4" max="7" width="10.6640625" customWidth="1"/>
    <col min="8" max="8" width="0" hidden="1" customWidth="1"/>
  </cols>
  <sheetData>
    <row r="3" spans="2:8" ht="25" x14ac:dyDescent="0.25">
      <c r="B3" s="2" t="s">
        <v>146</v>
      </c>
      <c r="C3" s="3"/>
    </row>
    <row r="4" spans="2:8" x14ac:dyDescent="0.15">
      <c r="B4" s="4" t="s">
        <v>147</v>
      </c>
      <c r="C4" s="5" t="s">
        <v>199</v>
      </c>
      <c r="H4" t="s">
        <v>148</v>
      </c>
    </row>
    <row r="5" spans="2:8" x14ac:dyDescent="0.15">
      <c r="B5" s="4" t="s">
        <v>149</v>
      </c>
      <c r="C5" s="183">
        <f>VLOOKUP(C4,ListaEmpresas,2,FALSE)</f>
        <v>8</v>
      </c>
      <c r="H5" t="s">
        <v>150</v>
      </c>
    </row>
    <row r="6" spans="2:8" x14ac:dyDescent="0.15">
      <c r="B6" s="4" t="s">
        <v>151</v>
      </c>
      <c r="C6" s="5" t="s">
        <v>358</v>
      </c>
    </row>
    <row r="7" spans="2:8" x14ac:dyDescent="0.15">
      <c r="B7" s="4"/>
      <c r="C7" s="6"/>
    </row>
    <row r="9" spans="2:8" ht="25" x14ac:dyDescent="0.25">
      <c r="B9" s="2" t="s">
        <v>152</v>
      </c>
      <c r="C9" s="3"/>
    </row>
    <row r="10" spans="2:8" x14ac:dyDescent="0.15">
      <c r="B10" s="4" t="s">
        <v>153</v>
      </c>
      <c r="C10" s="7">
        <f ca="1">YEAR(NOW()) + 1</f>
        <v>2026</v>
      </c>
      <c r="H10" t="s">
        <v>154</v>
      </c>
    </row>
    <row r="11" spans="2:8" x14ac:dyDescent="0.15">
      <c r="B11" s="4" t="s">
        <v>155</v>
      </c>
      <c r="C11" s="8">
        <v>40391</v>
      </c>
      <c r="H11" t="s">
        <v>156</v>
      </c>
    </row>
    <row r="13" spans="2:8" ht="25" x14ac:dyDescent="0.25">
      <c r="B13" s="2" t="s">
        <v>157</v>
      </c>
      <c r="C13" s="3"/>
    </row>
    <row r="14" spans="2:8" x14ac:dyDescent="0.15">
      <c r="B14" s="4" t="s">
        <v>158</v>
      </c>
      <c r="C14" s="9" t="s">
        <v>359</v>
      </c>
      <c r="H14" t="s">
        <v>159</v>
      </c>
    </row>
    <row r="15" spans="2:8" x14ac:dyDescent="0.15">
      <c r="B15" s="4" t="s">
        <v>160</v>
      </c>
      <c r="C15" s="9" t="s">
        <v>360</v>
      </c>
      <c r="H15" t="s">
        <v>161</v>
      </c>
    </row>
    <row r="16" spans="2:8" x14ac:dyDescent="0.15">
      <c r="B16" s="4" t="s">
        <v>162</v>
      </c>
      <c r="C16" s="9" t="s">
        <v>361</v>
      </c>
      <c r="H16" t="s">
        <v>163</v>
      </c>
    </row>
    <row r="17" spans="2:8" x14ac:dyDescent="0.15">
      <c r="B17" s="4" t="s">
        <v>164</v>
      </c>
      <c r="C17" s="9" t="s">
        <v>362</v>
      </c>
      <c r="H17" t="s">
        <v>165</v>
      </c>
    </row>
    <row r="18" spans="2:8" x14ac:dyDescent="0.15">
      <c r="B18" s="4" t="s">
        <v>166</v>
      </c>
      <c r="C18" s="5">
        <v>942201616</v>
      </c>
      <c r="H18" t="s">
        <v>167</v>
      </c>
    </row>
    <row r="19" spans="2:8" x14ac:dyDescent="0.15">
      <c r="B19" s="4" t="s">
        <v>168</v>
      </c>
      <c r="C19" s="10" t="s">
        <v>363</v>
      </c>
      <c r="H19" t="s">
        <v>169</v>
      </c>
    </row>
    <row r="26" spans="2:8" ht="16" x14ac:dyDescent="0.2">
      <c r="B26" s="11" t="s">
        <v>170</v>
      </c>
      <c r="C26" s="12"/>
    </row>
    <row r="27" spans="2:8" x14ac:dyDescent="0.15">
      <c r="B27" s="13"/>
      <c r="C27" s="12"/>
    </row>
    <row r="28" spans="2:8" ht="18" x14ac:dyDescent="0.2">
      <c r="B28" s="14" t="s">
        <v>171</v>
      </c>
      <c r="C28" s="15"/>
    </row>
    <row r="29" spans="2:8" x14ac:dyDescent="0.15">
      <c r="B29" s="15"/>
      <c r="C29" s="15"/>
    </row>
    <row r="30" spans="2:8" ht="15" customHeight="1" x14ac:dyDescent="0.15">
      <c r="B30" s="186" t="s">
        <v>175</v>
      </c>
      <c r="C30" s="186"/>
    </row>
    <row r="31" spans="2:8" ht="15" customHeight="1" x14ac:dyDescent="0.15">
      <c r="B31" s="186"/>
      <c r="C31" s="186"/>
    </row>
    <row r="32" spans="2:8" ht="15" x14ac:dyDescent="0.15">
      <c r="B32" s="16"/>
      <c r="C32" s="15"/>
    </row>
    <row r="33" spans="2:3" ht="15" customHeight="1" x14ac:dyDescent="0.15">
      <c r="B33" s="186" t="s">
        <v>178</v>
      </c>
      <c r="C33" s="186"/>
    </row>
    <row r="34" spans="2:3" ht="15" customHeight="1" x14ac:dyDescent="0.15">
      <c r="B34" s="186"/>
      <c r="C34" s="186"/>
    </row>
    <row r="35" spans="2:3" ht="15" customHeight="1" x14ac:dyDescent="0.15">
      <c r="B35" s="186"/>
      <c r="C35" s="186"/>
    </row>
    <row r="36" spans="2:3" ht="15" x14ac:dyDescent="0.15">
      <c r="B36" s="16"/>
      <c r="C36" s="15"/>
    </row>
    <row r="37" spans="2:3" ht="15" customHeight="1" x14ac:dyDescent="0.15">
      <c r="B37" s="186" t="s">
        <v>173</v>
      </c>
      <c r="C37" s="186"/>
    </row>
    <row r="38" spans="2:3" ht="15" customHeight="1" x14ac:dyDescent="0.15">
      <c r="B38" s="186"/>
      <c r="C38" s="186"/>
    </row>
    <row r="39" spans="2:3" ht="15" x14ac:dyDescent="0.15">
      <c r="B39" s="16"/>
      <c r="C39" s="15"/>
    </row>
    <row r="40" spans="2:3" ht="15" customHeight="1" x14ac:dyDescent="0.15">
      <c r="B40" s="186" t="s">
        <v>177</v>
      </c>
      <c r="C40" s="186"/>
    </row>
    <row r="41" spans="2:3" ht="15" customHeight="1" x14ac:dyDescent="0.15">
      <c r="B41" s="186"/>
      <c r="C41" s="186"/>
    </row>
    <row r="42" spans="2:3" ht="15" x14ac:dyDescent="0.15">
      <c r="B42" s="16"/>
      <c r="C42" s="15"/>
    </row>
    <row r="43" spans="2:3" ht="15" customHeight="1" x14ac:dyDescent="0.15">
      <c r="B43" s="187" t="s">
        <v>174</v>
      </c>
      <c r="C43" s="187"/>
    </row>
    <row r="44" spans="2:3" ht="15" customHeight="1" x14ac:dyDescent="0.15">
      <c r="B44" s="187"/>
      <c r="C44" s="187"/>
    </row>
    <row r="45" spans="2:3" ht="15" x14ac:dyDescent="0.15">
      <c r="B45" s="16"/>
      <c r="C45" s="15"/>
    </row>
    <row r="46" spans="2:3" ht="15" customHeight="1" x14ac:dyDescent="0.15">
      <c r="B46" s="186" t="s">
        <v>176</v>
      </c>
      <c r="C46" s="186"/>
    </row>
    <row r="47" spans="2:3" x14ac:dyDescent="0.15">
      <c r="B47" s="186"/>
      <c r="C47" s="186"/>
    </row>
  </sheetData>
  <sheetProtection algorithmName="SHA-512" hashValue="skeFCyT20RWr4Gh57ZD+WjNcRN3d9Qfjig4DLJi0QHTSwPMmez4hhvxYK4IXR55Krzx9M8Dy2ddgfGyq/mqPOQ==" saltValue="FYgosHZN8TBhUjwVOmwbvg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4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43307086614173229" right="0.19685039370078741" top="0.15748031496062992" bottom="0.43307086614173229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H145"/>
  <sheetViews>
    <sheetView tabSelected="1" zoomScaleNormal="100" workbookViewId="0">
      <selection activeCell="E51" sqref="E51"/>
    </sheetView>
  </sheetViews>
  <sheetFormatPr baseColWidth="10" defaultColWidth="11.5" defaultRowHeight="14" x14ac:dyDescent="0.15"/>
  <cols>
    <col min="1" max="1" width="107.5" style="19" customWidth="1"/>
    <col min="2" max="2" width="4.1640625" style="30" customWidth="1"/>
    <col min="3" max="3" width="15.6640625" style="31" customWidth="1"/>
    <col min="4" max="7" width="15.6640625" style="17" customWidth="1"/>
    <col min="8" max="8" width="9.1640625" style="17" hidden="1" customWidth="1"/>
    <col min="9" max="16384" width="11.5" style="17"/>
  </cols>
  <sheetData>
    <row r="2" spans="1:8" s="93" customFormat="1" ht="18" thickBot="1" x14ac:dyDescent="0.25">
      <c r="A2" s="58" t="str">
        <f>IF('DATOS EMPRESA'!C4&lt;&gt;"",'DATOS EMPRESA'!C4,"")</f>
        <v>FUNDACIÓN INSTITUTO HIDRAÚLICA AMBIENTAL DE CANTABRIA</v>
      </c>
      <c r="B2" s="91"/>
      <c r="C2" s="92"/>
      <c r="H2" s="1"/>
    </row>
    <row r="3" spans="1:8" s="1" customFormat="1" x14ac:dyDescent="0.15">
      <c r="A3" s="94"/>
      <c r="B3" s="181"/>
      <c r="C3" s="168" t="s">
        <v>337</v>
      </c>
      <c r="D3" s="190" t="s">
        <v>0</v>
      </c>
      <c r="E3" s="191"/>
      <c r="F3" s="191"/>
      <c r="G3" s="192"/>
    </row>
    <row r="4" spans="1:8" s="1" customFormat="1" ht="19" thickBot="1" x14ac:dyDescent="0.25">
      <c r="A4" s="96" t="s">
        <v>1</v>
      </c>
      <c r="B4" s="182"/>
      <c r="C4" s="184">
        <v>2023</v>
      </c>
      <c r="D4" s="167">
        <v>2024</v>
      </c>
      <c r="E4" s="167">
        <v>2025</v>
      </c>
      <c r="F4" s="167">
        <v>2026</v>
      </c>
      <c r="G4" s="185">
        <v>2027</v>
      </c>
    </row>
    <row r="5" spans="1:8" s="1" customFormat="1" ht="9" customHeight="1" x14ac:dyDescent="0.2">
      <c r="A5" s="58"/>
      <c r="B5" s="91"/>
      <c r="C5" s="97"/>
      <c r="F5" s="58"/>
    </row>
    <row r="6" spans="1:8" s="93" customFormat="1" ht="17" x14ac:dyDescent="0.2">
      <c r="A6" s="98" t="s">
        <v>2</v>
      </c>
      <c r="B6" s="99"/>
      <c r="C6" s="92"/>
      <c r="F6" s="98"/>
      <c r="H6" s="1"/>
    </row>
    <row r="7" spans="1:8" s="1" customFormat="1" ht="6" customHeight="1" x14ac:dyDescent="0.15">
      <c r="A7" s="94"/>
      <c r="B7" s="95"/>
      <c r="C7" s="100"/>
    </row>
    <row r="8" spans="1:8" s="1" customFormat="1" x14ac:dyDescent="0.15">
      <c r="A8" s="129" t="s">
        <v>271</v>
      </c>
      <c r="B8" s="130" t="s">
        <v>3</v>
      </c>
      <c r="C8" s="131">
        <f>C9+C10+C11+C12+C19</f>
        <v>5441912</v>
      </c>
      <c r="D8" s="131">
        <f>D9+D10+D11+D12+D19</f>
        <v>6058961</v>
      </c>
      <c r="E8" s="131">
        <f>E9+E10+E11+E12+E19</f>
        <v>5853284.7699999996</v>
      </c>
      <c r="F8" s="131">
        <f>F9+F10+F11+F12+F19</f>
        <v>5229648.8600000003</v>
      </c>
      <c r="G8" s="131">
        <f>G9+G10+G11+G12+G19</f>
        <v>5301397.5571999997</v>
      </c>
      <c r="H8" s="1">
        <v>100000</v>
      </c>
    </row>
    <row r="9" spans="1:8" s="82" customFormat="1" ht="13" x14ac:dyDescent="0.15">
      <c r="A9" s="132" t="s">
        <v>272</v>
      </c>
      <c r="B9" s="133"/>
      <c r="C9" s="134">
        <v>0</v>
      </c>
      <c r="D9" s="134">
        <v>0</v>
      </c>
      <c r="E9" s="134">
        <v>0</v>
      </c>
      <c r="F9" s="134">
        <v>0</v>
      </c>
      <c r="G9" s="134">
        <v>0</v>
      </c>
      <c r="H9" s="1">
        <v>100001</v>
      </c>
    </row>
    <row r="10" spans="1:8" s="82" customFormat="1" ht="13" x14ac:dyDescent="0.15">
      <c r="A10" s="132" t="s">
        <v>273</v>
      </c>
      <c r="B10" s="133"/>
      <c r="C10" s="134">
        <v>0</v>
      </c>
      <c r="D10" s="134">
        <v>0</v>
      </c>
      <c r="E10" s="134">
        <v>0</v>
      </c>
      <c r="F10" s="134">
        <v>0</v>
      </c>
      <c r="G10" s="134">
        <v>0</v>
      </c>
      <c r="H10" s="1">
        <v>100002</v>
      </c>
    </row>
    <row r="11" spans="1:8" s="82" customFormat="1" ht="13" x14ac:dyDescent="0.15">
      <c r="A11" s="132" t="s">
        <v>274</v>
      </c>
      <c r="B11" s="133"/>
      <c r="C11" s="134">
        <v>0</v>
      </c>
      <c r="D11" s="134">
        <v>0</v>
      </c>
      <c r="E11" s="134">
        <v>0</v>
      </c>
      <c r="F11" s="134">
        <v>0</v>
      </c>
      <c r="G11" s="134">
        <v>0</v>
      </c>
      <c r="H11" s="1">
        <v>100003</v>
      </c>
    </row>
    <row r="12" spans="1:8" s="82" customFormat="1" ht="13" x14ac:dyDescent="0.15">
      <c r="A12" s="132" t="s">
        <v>275</v>
      </c>
      <c r="B12" s="133"/>
      <c r="C12" s="158">
        <f>SUM(C13:C18)</f>
        <v>5441912</v>
      </c>
      <c r="D12" s="140">
        <f>SUM(D13:D18)</f>
        <v>6058961</v>
      </c>
      <c r="E12" s="140">
        <f>SUM(E13:E18)</f>
        <v>5853284.7699999996</v>
      </c>
      <c r="F12" s="140">
        <f>SUM(F13:F18)</f>
        <v>5229648.8600000003</v>
      </c>
      <c r="G12" s="140">
        <f>SUM(G13:G18)</f>
        <v>5301397.5571999997</v>
      </c>
      <c r="H12" s="1">
        <v>100004</v>
      </c>
    </row>
    <row r="13" spans="1:8" s="127" customFormat="1" ht="13" x14ac:dyDescent="0.15">
      <c r="A13" s="141" t="s">
        <v>6</v>
      </c>
      <c r="B13" s="142"/>
      <c r="C13" s="143">
        <v>3222146</v>
      </c>
      <c r="D13" s="143">
        <f>3585726-172214</f>
        <v>3413512</v>
      </c>
      <c r="E13" s="143">
        <v>2327217.77</v>
      </c>
      <c r="F13" s="143">
        <v>1810500</v>
      </c>
      <c r="G13" s="143">
        <f>+F13</f>
        <v>1810500</v>
      </c>
      <c r="H13" s="1">
        <v>100018</v>
      </c>
    </row>
    <row r="14" spans="1:8" s="82" customFormat="1" ht="13" x14ac:dyDescent="0.15">
      <c r="A14" s="141" t="s">
        <v>7</v>
      </c>
      <c r="B14" s="142"/>
      <c r="C14" s="143">
        <v>307058</v>
      </c>
      <c r="D14" s="143">
        <v>13525</v>
      </c>
      <c r="E14" s="143">
        <v>350122</v>
      </c>
      <c r="F14" s="143">
        <v>0</v>
      </c>
      <c r="G14" s="143">
        <v>0</v>
      </c>
      <c r="H14" s="1">
        <v>100019</v>
      </c>
    </row>
    <row r="15" spans="1:8" s="82" customFormat="1" ht="13" x14ac:dyDescent="0.15">
      <c r="A15" s="141" t="s">
        <v>8</v>
      </c>
      <c r="B15" s="142"/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">
        <v>100020</v>
      </c>
    </row>
    <row r="16" spans="1:8" s="112" customFormat="1" ht="13" x14ac:dyDescent="0.15">
      <c r="A16" s="141" t="s">
        <v>9</v>
      </c>
      <c r="B16" s="180"/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">
        <v>100021</v>
      </c>
    </row>
    <row r="17" spans="1:8" s="112" customFormat="1" ht="13" x14ac:dyDescent="0.15">
      <c r="A17" s="141" t="s">
        <v>10</v>
      </c>
      <c r="B17" s="142"/>
      <c r="C17" s="143">
        <v>873298</v>
      </c>
      <c r="D17" s="143">
        <v>1187363</v>
      </c>
      <c r="E17" s="143">
        <f>1386404+158852</f>
        <v>1545256</v>
      </c>
      <c r="F17" s="143">
        <f>1414132.08+165857</f>
        <v>1579989.08</v>
      </c>
      <c r="G17" s="143">
        <f>1442414.7216+165857</f>
        <v>1608271.7216</v>
      </c>
      <c r="H17" s="1">
        <v>100022</v>
      </c>
    </row>
    <row r="18" spans="1:8" s="112" customFormat="1" ht="13" x14ac:dyDescent="0.15">
      <c r="A18" s="141" t="s">
        <v>11</v>
      </c>
      <c r="B18" s="142"/>
      <c r="C18" s="143">
        <v>1039410</v>
      </c>
      <c r="D18" s="143">
        <v>1444561</v>
      </c>
      <c r="E18" s="143">
        <f>2130689-500000</f>
        <v>1630689</v>
      </c>
      <c r="F18" s="143">
        <f>1673302.78+165857</f>
        <v>1839159.78</v>
      </c>
      <c r="G18" s="143">
        <f>1716768.8356+165857</f>
        <v>1882625.8356000001</v>
      </c>
      <c r="H18" s="1">
        <v>100023</v>
      </c>
    </row>
    <row r="19" spans="1:8" s="82" customFormat="1" ht="13" x14ac:dyDescent="0.15">
      <c r="A19" s="132" t="s">
        <v>276</v>
      </c>
      <c r="B19" s="133"/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">
        <v>100005</v>
      </c>
    </row>
    <row r="20" spans="1:8" s="82" customFormat="1" ht="6.75" customHeight="1" x14ac:dyDescent="0.15">
      <c r="A20" s="132"/>
      <c r="B20" s="133"/>
      <c r="C20" s="135"/>
      <c r="D20" s="135"/>
      <c r="E20" s="135"/>
      <c r="F20" s="135"/>
      <c r="G20" s="135"/>
      <c r="H20" s="1" t="s">
        <v>324</v>
      </c>
    </row>
    <row r="21" spans="1:8" s="1" customFormat="1" x14ac:dyDescent="0.15">
      <c r="A21" s="136" t="s">
        <v>277</v>
      </c>
      <c r="B21" s="130" t="s">
        <v>4</v>
      </c>
      <c r="C21" s="137">
        <v>4287854.3499999996</v>
      </c>
      <c r="D21" s="137">
        <v>4722643</v>
      </c>
      <c r="E21" s="137">
        <f>+D21*1.05</f>
        <v>4958775.1500000004</v>
      </c>
      <c r="F21" s="137">
        <f>+E21*1.05</f>
        <v>5206713.9075000007</v>
      </c>
      <c r="G21" s="137">
        <f>+F21*1.01</f>
        <v>5258781.0465750005</v>
      </c>
      <c r="H21" s="1">
        <v>100006</v>
      </c>
    </row>
    <row r="22" spans="1:8" s="1" customFormat="1" ht="5" customHeight="1" x14ac:dyDescent="0.15">
      <c r="A22" s="129"/>
      <c r="B22" s="130"/>
      <c r="C22" s="138"/>
      <c r="D22" s="138"/>
      <c r="E22" s="138"/>
      <c r="F22" s="138"/>
      <c r="G22" s="138"/>
      <c r="H22" s="1" t="s">
        <v>324</v>
      </c>
    </row>
    <row r="23" spans="1:8" s="1" customFormat="1" x14ac:dyDescent="0.15">
      <c r="A23" s="129" t="s">
        <v>278</v>
      </c>
      <c r="B23" s="130" t="s">
        <v>5</v>
      </c>
      <c r="C23" s="131">
        <f>C24+C25+C26+C27</f>
        <v>-177116.75</v>
      </c>
      <c r="D23" s="131">
        <f>D24+D25+D26+D27</f>
        <v>-129847.5</v>
      </c>
      <c r="E23" s="131">
        <f>E24+E25+E26+E27</f>
        <v>-124131.75</v>
      </c>
      <c r="F23" s="131">
        <f>F24+F25+F26+F27</f>
        <v>-126860.04375</v>
      </c>
      <c r="G23" s="131">
        <f>G24+G25+G26+G27</f>
        <v>-130515.8450625</v>
      </c>
      <c r="H23" s="1">
        <v>100007</v>
      </c>
    </row>
    <row r="24" spans="1:8" s="82" customFormat="1" ht="12" x14ac:dyDescent="0.15">
      <c r="A24" s="132" t="s">
        <v>326</v>
      </c>
      <c r="B24" s="133"/>
      <c r="C24" s="134">
        <v>-122691.08</v>
      </c>
      <c r="D24" s="134">
        <f>-78023-25912</f>
        <v>-103935</v>
      </c>
      <c r="E24" s="134">
        <f>+D24*1.05</f>
        <v>-109131.75</v>
      </c>
      <c r="F24" s="134">
        <f>+E24*1.025</f>
        <v>-111860.04375</v>
      </c>
      <c r="G24" s="134">
        <f>+F24*1.03</f>
        <v>-115215.8450625</v>
      </c>
      <c r="H24" s="82">
        <v>100008</v>
      </c>
    </row>
    <row r="25" spans="1:8" s="82" customFormat="1" ht="12" x14ac:dyDescent="0.15">
      <c r="A25" s="132" t="s">
        <v>327</v>
      </c>
      <c r="B25" s="133"/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82">
        <v>100009</v>
      </c>
    </row>
    <row r="26" spans="1:8" s="82" customFormat="1" ht="12" x14ac:dyDescent="0.15">
      <c r="A26" s="132" t="s">
        <v>328</v>
      </c>
      <c r="B26" s="133"/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82">
        <v>100010</v>
      </c>
    </row>
    <row r="27" spans="1:8" s="82" customFormat="1" ht="12" x14ac:dyDescent="0.15">
      <c r="A27" s="132" t="s">
        <v>329</v>
      </c>
      <c r="B27" s="133"/>
      <c r="C27" s="134">
        <v>-54425.67</v>
      </c>
      <c r="D27" s="134">
        <f>-2159.375*12</f>
        <v>-25912.5</v>
      </c>
      <c r="E27" s="134">
        <v>-15000</v>
      </c>
      <c r="F27" s="134">
        <v>-15000</v>
      </c>
      <c r="G27" s="134">
        <v>-15300</v>
      </c>
      <c r="H27" s="82">
        <v>100011</v>
      </c>
    </row>
    <row r="28" spans="1:8" s="1" customFormat="1" ht="7.5" customHeight="1" x14ac:dyDescent="0.15">
      <c r="A28" s="94"/>
      <c r="B28" s="95"/>
      <c r="C28" s="135"/>
      <c r="D28" s="135"/>
      <c r="E28" s="135"/>
      <c r="F28" s="135"/>
      <c r="G28" s="135"/>
      <c r="H28" s="1" t="s">
        <v>324</v>
      </c>
    </row>
    <row r="29" spans="1:8" s="55" customFormat="1" ht="15" customHeight="1" x14ac:dyDescent="0.15">
      <c r="A29" s="169" t="s">
        <v>279</v>
      </c>
      <c r="B29" s="130" t="s">
        <v>4</v>
      </c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55">
        <v>100012</v>
      </c>
    </row>
    <row r="30" spans="1:8" ht="5" customHeight="1" x14ac:dyDescent="0.15">
      <c r="C30" s="35"/>
      <c r="D30" s="35"/>
      <c r="E30" s="35"/>
      <c r="F30" s="35"/>
      <c r="G30" s="35"/>
      <c r="H30" s="17" t="s">
        <v>324</v>
      </c>
    </row>
    <row r="31" spans="1:8" s="1" customFormat="1" x14ac:dyDescent="0.15">
      <c r="A31" s="129" t="s">
        <v>280</v>
      </c>
      <c r="B31" s="130" t="s">
        <v>5</v>
      </c>
      <c r="C31" s="139">
        <v>0</v>
      </c>
      <c r="D31" s="139">
        <v>0</v>
      </c>
      <c r="E31" s="139">
        <v>0</v>
      </c>
      <c r="F31" s="139">
        <v>0</v>
      </c>
      <c r="G31" s="139">
        <v>0</v>
      </c>
      <c r="H31" s="1">
        <v>100013</v>
      </c>
    </row>
    <row r="32" spans="1:8" s="23" customFormat="1" ht="5.25" customHeight="1" x14ac:dyDescent="0.15">
      <c r="A32" s="19"/>
      <c r="B32" s="30"/>
      <c r="C32" s="35"/>
      <c r="D32" s="35"/>
      <c r="E32" s="35"/>
      <c r="F32" s="35"/>
      <c r="G32" s="35"/>
      <c r="H32" s="17" t="s">
        <v>324</v>
      </c>
    </row>
    <row r="33" spans="1:8" s="127" customFormat="1" x14ac:dyDescent="0.15">
      <c r="A33" s="129" t="s">
        <v>281</v>
      </c>
      <c r="B33" s="130" t="s">
        <v>5</v>
      </c>
      <c r="C33" s="139">
        <v>-1471870.49</v>
      </c>
      <c r="D33" s="139">
        <v>-1485684</v>
      </c>
      <c r="E33" s="139">
        <v>-1233298</v>
      </c>
      <c r="F33" s="139">
        <f>+E33*1.024</f>
        <v>-1262897.152</v>
      </c>
      <c r="G33" s="139">
        <f>+F33*1.024</f>
        <v>-1293206.683648</v>
      </c>
      <c r="H33" s="55">
        <v>100014</v>
      </c>
    </row>
    <row r="34" spans="1:8" s="23" customFormat="1" ht="6.75" customHeight="1" x14ac:dyDescent="0.15">
      <c r="A34" s="19"/>
      <c r="B34" s="30"/>
      <c r="C34" s="35"/>
      <c r="D34" s="35"/>
      <c r="E34" s="35"/>
      <c r="F34" s="35"/>
      <c r="G34" s="35"/>
      <c r="H34" s="17" t="s">
        <v>324</v>
      </c>
    </row>
    <row r="35" spans="1:8" s="82" customFormat="1" x14ac:dyDescent="0.15">
      <c r="A35" s="129" t="s">
        <v>331</v>
      </c>
      <c r="B35" s="130" t="s">
        <v>3</v>
      </c>
      <c r="C35" s="139">
        <v>86855.88</v>
      </c>
      <c r="D35" s="139">
        <f>86856*1.034</f>
        <v>89809.104000000007</v>
      </c>
      <c r="E35" s="139">
        <f>+D35*1.021</f>
        <v>91695.095184000005</v>
      </c>
      <c r="F35" s="139">
        <f>+E35*1.025-20000</f>
        <v>73987.472563599993</v>
      </c>
      <c r="G35" s="139">
        <f>+F35*1.03</f>
        <v>76207.096740508001</v>
      </c>
      <c r="H35" s="1">
        <v>100015</v>
      </c>
    </row>
    <row r="36" spans="1:8" s="25" customFormat="1" ht="6.75" customHeight="1" x14ac:dyDescent="0.15">
      <c r="A36" s="19"/>
      <c r="B36" s="30"/>
      <c r="C36" s="35"/>
      <c r="D36" s="35"/>
      <c r="E36" s="35"/>
      <c r="F36" s="35"/>
      <c r="G36" s="35"/>
      <c r="H36" s="17" t="s">
        <v>324</v>
      </c>
    </row>
    <row r="37" spans="1:8" s="112" customFormat="1" x14ac:dyDescent="0.15">
      <c r="A37" s="129" t="s">
        <v>282</v>
      </c>
      <c r="B37" s="130" t="s">
        <v>5</v>
      </c>
      <c r="C37" s="131">
        <f>C38+C39+C40+C41</f>
        <v>-6380585.21</v>
      </c>
      <c r="D37" s="131">
        <f>D38+D39+D40+D41</f>
        <v>-7424286</v>
      </c>
      <c r="E37" s="131">
        <f>E38+E39+E40+E41</f>
        <v>-7811528.4299999988</v>
      </c>
      <c r="F37" s="131">
        <f>F38+F39+F40+F41</f>
        <v>-7350586.0721499976</v>
      </c>
      <c r="G37" s="131">
        <f>G38+G39+G40+G41</f>
        <v>-7387339.0025107469</v>
      </c>
      <c r="H37" s="1">
        <v>100024</v>
      </c>
    </row>
    <row r="38" spans="1:8" s="112" customFormat="1" ht="13" x14ac:dyDescent="0.15">
      <c r="A38" s="132" t="s">
        <v>12</v>
      </c>
      <c r="B38" s="133"/>
      <c r="C38" s="134">
        <v>-4885552.24</v>
      </c>
      <c r="D38" s="134">
        <v>-5624459</v>
      </c>
      <c r="E38" s="134">
        <f>+D38*1.005-265243</f>
        <v>-5917824.294999999</v>
      </c>
      <c r="F38" s="134">
        <f>+E38*1.005+340000</f>
        <v>-5607413.416474998</v>
      </c>
      <c r="G38" s="134">
        <f>+F38*1.005</f>
        <v>-5635450.4835573724</v>
      </c>
      <c r="H38" s="1">
        <v>100025</v>
      </c>
    </row>
    <row r="39" spans="1:8" s="112" customFormat="1" ht="13" x14ac:dyDescent="0.15">
      <c r="A39" s="132" t="s">
        <v>284</v>
      </c>
      <c r="B39" s="133"/>
      <c r="C39" s="134">
        <v>-1495032.97</v>
      </c>
      <c r="D39" s="134">
        <v>-1799827</v>
      </c>
      <c r="E39" s="134">
        <f>+D39*1.005-84878</f>
        <v>-1893704.1349999998</v>
      </c>
      <c r="F39" s="134">
        <f>+E39*1.005+160000</f>
        <v>-1743172.6556749996</v>
      </c>
      <c r="G39" s="134">
        <f>+F39*1.005</f>
        <v>-1751888.5189533744</v>
      </c>
      <c r="H39" s="1">
        <v>100026</v>
      </c>
    </row>
    <row r="40" spans="1:8" s="1" customFormat="1" ht="13" x14ac:dyDescent="0.15">
      <c r="A40" s="132" t="s">
        <v>285</v>
      </c>
      <c r="B40" s="133"/>
      <c r="C40" s="134">
        <v>0</v>
      </c>
      <c r="D40" s="134">
        <v>0</v>
      </c>
      <c r="E40" s="134">
        <v>0</v>
      </c>
      <c r="F40" s="134">
        <v>0</v>
      </c>
      <c r="G40" s="134">
        <v>0</v>
      </c>
      <c r="H40" s="1">
        <v>100027</v>
      </c>
    </row>
    <row r="41" spans="1:8" s="1" customFormat="1" ht="13" x14ac:dyDescent="0.15">
      <c r="A41" s="132" t="s">
        <v>286</v>
      </c>
      <c r="B41" s="133"/>
      <c r="C41" s="134">
        <v>0</v>
      </c>
      <c r="D41" s="134">
        <v>0</v>
      </c>
      <c r="E41" s="134">
        <v>0</v>
      </c>
      <c r="F41" s="134">
        <v>0</v>
      </c>
      <c r="G41" s="134">
        <v>0</v>
      </c>
      <c r="H41" s="1">
        <v>100028</v>
      </c>
    </row>
    <row r="42" spans="1:8" s="23" customFormat="1" ht="7.5" customHeight="1" x14ac:dyDescent="0.15">
      <c r="A42" s="19"/>
      <c r="B42" s="30"/>
      <c r="C42" s="39"/>
      <c r="D42" s="39"/>
      <c r="E42" s="39"/>
      <c r="F42" s="39"/>
      <c r="G42" s="39"/>
      <c r="H42" s="17" t="s">
        <v>324</v>
      </c>
    </row>
    <row r="43" spans="1:8" s="82" customFormat="1" x14ac:dyDescent="0.15">
      <c r="A43" s="129" t="s">
        <v>283</v>
      </c>
      <c r="B43" s="130" t="s">
        <v>5</v>
      </c>
      <c r="C43" s="131">
        <f>C44+C45+C46+C47</f>
        <v>-1215240.5900000001</v>
      </c>
      <c r="D43" s="131">
        <f>D44+D45+D46+D47</f>
        <v>-1525459</v>
      </c>
      <c r="E43" s="131">
        <f>E44+E45+E46+E47</f>
        <v>-1445835.808</v>
      </c>
      <c r="F43" s="131">
        <f>F44+F45+F46+F47</f>
        <v>-1460950.6060800001</v>
      </c>
      <c r="G43" s="131">
        <f>G44+G45+G46+G47</f>
        <v>-1495930.6566259202</v>
      </c>
      <c r="H43" s="1">
        <v>100029</v>
      </c>
    </row>
    <row r="44" spans="1:8" s="82" customFormat="1" ht="13" x14ac:dyDescent="0.15">
      <c r="A44" s="132" t="s">
        <v>13</v>
      </c>
      <c r="B44" s="133"/>
      <c r="C44" s="134">
        <v>-1119424.54</v>
      </c>
      <c r="D44" s="134">
        <v>-1358867</v>
      </c>
      <c r="E44" s="134">
        <f>+D44*1.024</f>
        <v>-1391479.808</v>
      </c>
      <c r="F44" s="134">
        <f>+E44*1.01</f>
        <v>-1405394.6060800001</v>
      </c>
      <c r="G44" s="134">
        <f>+F44*1.024</f>
        <v>-1439124.0766259201</v>
      </c>
      <c r="H44" s="1">
        <v>100030</v>
      </c>
    </row>
    <row r="45" spans="1:8" s="82" customFormat="1" ht="13" x14ac:dyDescent="0.15">
      <c r="A45" s="132" t="s">
        <v>14</v>
      </c>
      <c r="B45" s="133"/>
      <c r="C45" s="134">
        <v>-3625.1</v>
      </c>
      <c r="D45" s="134">
        <v>-4285</v>
      </c>
      <c r="E45" s="134">
        <v>-4356</v>
      </c>
      <c r="F45" s="134">
        <f>+E45</f>
        <v>-4356</v>
      </c>
      <c r="G45" s="134">
        <f>+F45*1.005</f>
        <v>-4377.78</v>
      </c>
      <c r="H45" s="1">
        <v>100031</v>
      </c>
    </row>
    <row r="46" spans="1:8" s="1" customFormat="1" ht="13" x14ac:dyDescent="0.15">
      <c r="A46" s="132" t="s">
        <v>15</v>
      </c>
      <c r="B46" s="133"/>
      <c r="C46" s="134">
        <v>-92185.95</v>
      </c>
      <c r="D46" s="134">
        <v>-162307</v>
      </c>
      <c r="E46" s="134">
        <v>-50000</v>
      </c>
      <c r="F46" s="134">
        <f>+E46*1.024</f>
        <v>-51200</v>
      </c>
      <c r="G46" s="134">
        <f>+F46*1.024</f>
        <v>-52428.800000000003</v>
      </c>
      <c r="H46" s="1">
        <v>100032</v>
      </c>
    </row>
    <row r="47" spans="1:8" s="1" customFormat="1" ht="13" x14ac:dyDescent="0.15">
      <c r="A47" s="132" t="s">
        <v>16</v>
      </c>
      <c r="B47" s="133"/>
      <c r="C47" s="134">
        <v>-5</v>
      </c>
      <c r="D47" s="134">
        <v>0</v>
      </c>
      <c r="E47" s="134">
        <v>0</v>
      </c>
      <c r="F47" s="134">
        <v>0</v>
      </c>
      <c r="G47" s="134">
        <v>0</v>
      </c>
      <c r="H47" s="1">
        <v>100033</v>
      </c>
    </row>
    <row r="48" spans="1:8" s="23" customFormat="1" ht="6" customHeight="1" x14ac:dyDescent="0.15">
      <c r="A48" s="19"/>
      <c r="B48" s="30"/>
      <c r="C48" s="35"/>
      <c r="D48" s="35"/>
      <c r="E48" s="35"/>
      <c r="F48" s="35"/>
      <c r="G48" s="35"/>
      <c r="H48" s="17" t="s">
        <v>324</v>
      </c>
    </row>
    <row r="49" spans="1:8" s="82" customFormat="1" x14ac:dyDescent="0.15">
      <c r="A49" s="129" t="s">
        <v>287</v>
      </c>
      <c r="B49" s="130" t="s">
        <v>5</v>
      </c>
      <c r="C49" s="137">
        <v>-707132.02</v>
      </c>
      <c r="D49" s="137">
        <f>-793797.33</f>
        <v>-793797.33</v>
      </c>
      <c r="E49" s="137">
        <v>-750435</v>
      </c>
      <c r="F49" s="137">
        <f>+E49-200000</f>
        <v>-950435</v>
      </c>
      <c r="G49" s="137">
        <f>+F49+50000-250000</f>
        <v>-1150435</v>
      </c>
      <c r="H49" s="1">
        <v>100034</v>
      </c>
    </row>
    <row r="50" spans="1:8" s="23" customFormat="1" ht="6" customHeight="1" x14ac:dyDescent="0.15">
      <c r="A50" s="36"/>
      <c r="B50" s="32"/>
      <c r="C50" s="37"/>
      <c r="D50" s="37"/>
      <c r="E50" s="37"/>
      <c r="F50" s="37"/>
      <c r="G50" s="37"/>
      <c r="H50" s="17" t="s">
        <v>324</v>
      </c>
    </row>
    <row r="51" spans="1:8" s="82" customFormat="1" ht="14.25" customHeight="1" x14ac:dyDescent="0.15">
      <c r="A51" s="169" t="s">
        <v>288</v>
      </c>
      <c r="B51" s="130" t="s">
        <v>3</v>
      </c>
      <c r="C51" s="137">
        <v>596025.23</v>
      </c>
      <c r="D51" s="137">
        <v>538216</v>
      </c>
      <c r="E51" s="137">
        <f>+D51</f>
        <v>538216</v>
      </c>
      <c r="F51" s="137">
        <f>+E51+200000</f>
        <v>738216</v>
      </c>
      <c r="G51" s="137">
        <f>+F51+50000</f>
        <v>788216</v>
      </c>
      <c r="H51" s="1">
        <v>100035</v>
      </c>
    </row>
    <row r="52" spans="1:8" s="23" customFormat="1" ht="6.75" customHeight="1" x14ac:dyDescent="0.15">
      <c r="A52" s="36"/>
      <c r="B52" s="32"/>
      <c r="C52" s="37"/>
      <c r="D52" s="37"/>
      <c r="E52" s="37"/>
      <c r="F52" s="37"/>
      <c r="G52" s="37"/>
      <c r="H52" s="17" t="s">
        <v>324</v>
      </c>
    </row>
    <row r="53" spans="1:8" s="1" customFormat="1" x14ac:dyDescent="0.15">
      <c r="A53" s="129" t="s">
        <v>289</v>
      </c>
      <c r="B53" s="130" t="s">
        <v>3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  <c r="H53" s="1">
        <v>100036</v>
      </c>
    </row>
    <row r="54" spans="1:8" ht="6" customHeight="1" x14ac:dyDescent="0.15">
      <c r="A54" s="36"/>
      <c r="B54" s="32"/>
      <c r="C54" s="37"/>
      <c r="D54" s="37"/>
      <c r="E54" s="37"/>
      <c r="F54" s="37"/>
      <c r="G54" s="37"/>
      <c r="H54" s="17" t="s">
        <v>324</v>
      </c>
    </row>
    <row r="55" spans="1:8" s="1" customFormat="1" x14ac:dyDescent="0.15">
      <c r="A55" s="55" t="s">
        <v>290</v>
      </c>
      <c r="B55" s="130" t="s">
        <v>4</v>
      </c>
      <c r="C55" s="111">
        <f>C56+C57</f>
        <v>0</v>
      </c>
      <c r="D55" s="111">
        <f>D56+D57</f>
        <v>0</v>
      </c>
      <c r="E55" s="111">
        <f>E56+E57</f>
        <v>0</v>
      </c>
      <c r="F55" s="111">
        <f>F56+F57</f>
        <v>0</v>
      </c>
      <c r="G55" s="111">
        <f>G56+G57</f>
        <v>0</v>
      </c>
      <c r="H55" s="1">
        <v>100037</v>
      </c>
    </row>
    <row r="56" spans="1:8" s="55" customFormat="1" ht="13" x14ac:dyDescent="0.15">
      <c r="A56" s="132" t="s">
        <v>17</v>
      </c>
      <c r="B56" s="133"/>
      <c r="C56" s="134">
        <v>0</v>
      </c>
      <c r="D56" s="134">
        <v>0</v>
      </c>
      <c r="E56" s="134">
        <v>0</v>
      </c>
      <c r="F56" s="134">
        <v>0</v>
      </c>
      <c r="G56" s="134">
        <v>0</v>
      </c>
      <c r="H56" s="1">
        <v>100038</v>
      </c>
    </row>
    <row r="57" spans="1:8" s="55" customFormat="1" ht="13" x14ac:dyDescent="0.15">
      <c r="A57" s="132" t="s">
        <v>18</v>
      </c>
      <c r="B57" s="133"/>
      <c r="C57" s="134">
        <v>0</v>
      </c>
      <c r="D57" s="134">
        <v>0</v>
      </c>
      <c r="E57" s="134">
        <v>0</v>
      </c>
      <c r="F57" s="134">
        <v>0</v>
      </c>
      <c r="G57" s="134">
        <v>0</v>
      </c>
      <c r="H57" s="1">
        <v>100039</v>
      </c>
    </row>
    <row r="58" spans="1:8" s="24" customFormat="1" ht="5.25" customHeight="1" x14ac:dyDescent="0.15">
      <c r="A58" s="19"/>
      <c r="B58" s="30"/>
      <c r="C58" s="35"/>
      <c r="D58" s="35"/>
      <c r="E58" s="35"/>
      <c r="F58" s="35"/>
      <c r="G58" s="35"/>
      <c r="H58" s="17" t="s">
        <v>324</v>
      </c>
    </row>
    <row r="59" spans="1:8" s="55" customFormat="1" x14ac:dyDescent="0.15">
      <c r="A59" s="129" t="s">
        <v>291</v>
      </c>
      <c r="B59" s="130" t="s">
        <v>5</v>
      </c>
      <c r="C59" s="137"/>
      <c r="D59" s="137">
        <v>0</v>
      </c>
      <c r="E59" s="137">
        <v>0</v>
      </c>
      <c r="F59" s="137">
        <v>0</v>
      </c>
      <c r="G59" s="137">
        <v>0</v>
      </c>
      <c r="H59" s="1">
        <v>100040</v>
      </c>
    </row>
    <row r="60" spans="1:8" s="24" customFormat="1" ht="6.75" customHeight="1" x14ac:dyDescent="0.15">
      <c r="A60" s="19"/>
      <c r="B60" s="30"/>
      <c r="C60" s="35"/>
      <c r="D60" s="35"/>
      <c r="E60" s="35"/>
      <c r="F60" s="35"/>
      <c r="G60" s="35"/>
      <c r="H60" s="17" t="s">
        <v>324</v>
      </c>
    </row>
    <row r="61" spans="1:8" s="55" customFormat="1" x14ac:dyDescent="0.15">
      <c r="A61" s="129" t="s">
        <v>19</v>
      </c>
      <c r="B61" s="130" t="s">
        <v>4</v>
      </c>
      <c r="C61" s="137">
        <v>-38.78</v>
      </c>
      <c r="D61" s="137">
        <v>0</v>
      </c>
      <c r="E61" s="137">
        <v>0</v>
      </c>
      <c r="F61" s="137">
        <v>0</v>
      </c>
      <c r="G61" s="137">
        <v>0</v>
      </c>
      <c r="H61" s="1">
        <v>100041</v>
      </c>
    </row>
    <row r="62" spans="1:8" s="24" customFormat="1" ht="6" customHeight="1" x14ac:dyDescent="0.15">
      <c r="A62" s="36"/>
      <c r="B62" s="32"/>
      <c r="C62" s="35"/>
      <c r="D62" s="35"/>
      <c r="E62" s="35"/>
      <c r="F62" s="35"/>
      <c r="G62" s="35"/>
      <c r="H62" s="17" t="s">
        <v>324</v>
      </c>
    </row>
    <row r="63" spans="1:8" s="82" customFormat="1" ht="17" x14ac:dyDescent="0.2">
      <c r="A63" s="145" t="s">
        <v>338</v>
      </c>
      <c r="B63" s="130" t="s">
        <v>20</v>
      </c>
      <c r="C63" s="144">
        <f>C8+C21+C23+C31+C29+C33+C35+C37+C43+C49+C51+C53+C55+C59+C61</f>
        <v>460663.61999999918</v>
      </c>
      <c r="D63" s="144">
        <f>D8+D21+D23+D31+D29+D33+D35+D37+D43+D49+D51+D53+D55+D59+D61</f>
        <v>50555.274000000325</v>
      </c>
      <c r="E63" s="144">
        <f>E8+E21+E23+E31+E29+E33+E35+E37+E43+E49+E51+E53+E55+E59+E61</f>
        <v>76742.027184001403</v>
      </c>
      <c r="F63" s="144">
        <f>F8+F21+F23+F31+F29+F33+F35+F37+F43+F49+F51+F53+F55+F59+F61</f>
        <v>96837.366083604516</v>
      </c>
      <c r="G63" s="144">
        <f>G8+G21+G23+G31+G29+G33+G35+G37+G43+G49+G51+G53+G55+G59+G61</f>
        <v>-32825.487331657903</v>
      </c>
      <c r="H63" s="1">
        <v>100042</v>
      </c>
    </row>
    <row r="64" spans="1:8" ht="6" customHeight="1" x14ac:dyDescent="0.15">
      <c r="C64" s="35"/>
      <c r="D64" s="35"/>
      <c r="E64" s="35"/>
      <c r="F64" s="35"/>
      <c r="G64" s="35"/>
      <c r="H64" s="17" t="s">
        <v>324</v>
      </c>
    </row>
    <row r="65" spans="1:8" s="55" customFormat="1" x14ac:dyDescent="0.15">
      <c r="A65" s="129" t="s">
        <v>21</v>
      </c>
      <c r="B65" s="130" t="s">
        <v>3</v>
      </c>
      <c r="C65" s="131">
        <f>C66+C69</f>
        <v>75311.06</v>
      </c>
      <c r="D65" s="131">
        <f>D66+D69</f>
        <v>227596</v>
      </c>
      <c r="E65" s="131">
        <f>E66+E69</f>
        <v>113798</v>
      </c>
      <c r="F65" s="131">
        <f>F66+F69</f>
        <v>85348.5</v>
      </c>
      <c r="G65" s="131">
        <f>G66+G69</f>
        <v>81081.074999999997</v>
      </c>
      <c r="H65" s="1">
        <v>100043</v>
      </c>
    </row>
    <row r="66" spans="1:8" s="1" customFormat="1" ht="13" x14ac:dyDescent="0.15">
      <c r="A66" s="132" t="s">
        <v>22</v>
      </c>
      <c r="B66" s="133"/>
      <c r="C66" s="140">
        <f>C67+C68</f>
        <v>0</v>
      </c>
      <c r="D66" s="140">
        <f>D67+D68</f>
        <v>0</v>
      </c>
      <c r="E66" s="140">
        <f>E67+E68</f>
        <v>0</v>
      </c>
      <c r="F66" s="140">
        <f>F67+F68</f>
        <v>0</v>
      </c>
      <c r="G66" s="140">
        <f>G67+G68</f>
        <v>0</v>
      </c>
      <c r="H66" s="1">
        <v>100044</v>
      </c>
    </row>
    <row r="67" spans="1:8" s="1" customFormat="1" ht="12.75" customHeight="1" x14ac:dyDescent="0.15">
      <c r="A67" s="141" t="s">
        <v>292</v>
      </c>
      <c r="B67" s="142"/>
      <c r="C67" s="143">
        <v>0</v>
      </c>
      <c r="D67" s="143">
        <v>0</v>
      </c>
      <c r="E67" s="143">
        <v>0</v>
      </c>
      <c r="F67" s="143">
        <v>0</v>
      </c>
      <c r="G67" s="143">
        <v>0</v>
      </c>
      <c r="H67" s="1">
        <v>100045</v>
      </c>
    </row>
    <row r="68" spans="1:8" s="1" customFormat="1" ht="12.75" customHeight="1" x14ac:dyDescent="0.15">
      <c r="A68" s="141" t="s">
        <v>23</v>
      </c>
      <c r="B68" s="142"/>
      <c r="C68" s="143">
        <v>0</v>
      </c>
      <c r="D68" s="143">
        <v>0</v>
      </c>
      <c r="E68" s="143">
        <v>0</v>
      </c>
      <c r="F68" s="143">
        <v>0</v>
      </c>
      <c r="G68" s="143">
        <v>0</v>
      </c>
      <c r="H68" s="1">
        <v>100046</v>
      </c>
    </row>
    <row r="69" spans="1:8" s="1" customFormat="1" ht="13" x14ac:dyDescent="0.15">
      <c r="A69" s="170" t="s">
        <v>24</v>
      </c>
      <c r="B69" s="133"/>
      <c r="C69" s="140">
        <f>C70+C71</f>
        <v>75311.06</v>
      </c>
      <c r="D69" s="140">
        <f>D70+D71</f>
        <v>227596</v>
      </c>
      <c r="E69" s="140">
        <f>E70+E71</f>
        <v>113798</v>
      </c>
      <c r="F69" s="140">
        <f>F70+F71</f>
        <v>85348.5</v>
      </c>
      <c r="G69" s="140">
        <f>G70+G71</f>
        <v>81081.074999999997</v>
      </c>
      <c r="H69" s="1">
        <v>100047</v>
      </c>
    </row>
    <row r="70" spans="1:8" s="103" customFormat="1" ht="12.75" customHeight="1" x14ac:dyDescent="0.2">
      <c r="A70" s="141" t="s">
        <v>293</v>
      </c>
      <c r="B70" s="142"/>
      <c r="C70" s="143">
        <v>0</v>
      </c>
      <c r="D70" s="143">
        <v>0</v>
      </c>
      <c r="E70" s="143">
        <v>0</v>
      </c>
      <c r="F70" s="143">
        <v>0</v>
      </c>
      <c r="G70" s="143">
        <v>0</v>
      </c>
      <c r="H70" s="1">
        <v>100048</v>
      </c>
    </row>
    <row r="71" spans="1:8" s="1" customFormat="1" ht="12.75" customHeight="1" x14ac:dyDescent="0.15">
      <c r="A71" s="141" t="s">
        <v>25</v>
      </c>
      <c r="B71" s="142"/>
      <c r="C71" s="143">
        <v>75311.06</v>
      </c>
      <c r="D71" s="143">
        <v>227596</v>
      </c>
      <c r="E71" s="143">
        <f>+D71*0.5</f>
        <v>113798</v>
      </c>
      <c r="F71" s="143">
        <f>+E71*0.75</f>
        <v>85348.5</v>
      </c>
      <c r="G71" s="143">
        <f>+F71*0.95</f>
        <v>81081.074999999997</v>
      </c>
      <c r="H71" s="1">
        <v>100049</v>
      </c>
    </row>
    <row r="72" spans="1:8" s="24" customFormat="1" ht="6.75" customHeight="1" x14ac:dyDescent="0.15">
      <c r="A72" s="19"/>
      <c r="B72" s="30"/>
      <c r="C72" s="35"/>
      <c r="D72" s="35"/>
      <c r="E72" s="35"/>
      <c r="F72" s="35"/>
      <c r="G72" s="35"/>
      <c r="H72" s="17" t="s">
        <v>324</v>
      </c>
    </row>
    <row r="73" spans="1:8" s="127" customFormat="1" x14ac:dyDescent="0.15">
      <c r="A73" s="129" t="s">
        <v>26</v>
      </c>
      <c r="B73" s="130" t="s">
        <v>5</v>
      </c>
      <c r="C73" s="131">
        <f>C74+C75+C76</f>
        <v>-40226.69</v>
      </c>
      <c r="D73" s="131">
        <f>D74+D75+D76</f>
        <v>-8206</v>
      </c>
      <c r="E73" s="131">
        <f>E74+E75+E76</f>
        <v>0</v>
      </c>
      <c r="F73" s="131">
        <f>F74+F75+F76</f>
        <v>0</v>
      </c>
      <c r="G73" s="131">
        <f>G74+G75+G76</f>
        <v>0</v>
      </c>
      <c r="H73" s="1">
        <v>100050</v>
      </c>
    </row>
    <row r="74" spans="1:8" s="82" customFormat="1" ht="13" x14ac:dyDescent="0.15">
      <c r="A74" s="132" t="s">
        <v>27</v>
      </c>
      <c r="B74" s="133"/>
      <c r="C74" s="134">
        <v>0</v>
      </c>
      <c r="D74" s="134">
        <v>0</v>
      </c>
      <c r="E74" s="134">
        <v>0</v>
      </c>
      <c r="F74" s="134">
        <v>0</v>
      </c>
      <c r="G74" s="134">
        <v>0</v>
      </c>
      <c r="H74" s="1">
        <v>100051</v>
      </c>
    </row>
    <row r="75" spans="1:8" s="112" customFormat="1" ht="13" x14ac:dyDescent="0.15">
      <c r="A75" s="132" t="s">
        <v>28</v>
      </c>
      <c r="B75" s="133"/>
      <c r="C75" s="134">
        <v>-40226.69</v>
      </c>
      <c r="D75" s="134">
        <v>-8206</v>
      </c>
      <c r="E75" s="134">
        <v>0</v>
      </c>
      <c r="F75" s="134">
        <v>0</v>
      </c>
      <c r="G75" s="134">
        <v>0</v>
      </c>
      <c r="H75" s="1">
        <v>100052</v>
      </c>
    </row>
    <row r="76" spans="1:8" s="112" customFormat="1" ht="13" x14ac:dyDescent="0.15">
      <c r="A76" s="132" t="s">
        <v>29</v>
      </c>
      <c r="B76" s="133"/>
      <c r="C76" s="134">
        <v>0</v>
      </c>
      <c r="D76" s="134">
        <v>0</v>
      </c>
      <c r="E76" s="134">
        <v>0</v>
      </c>
      <c r="F76" s="134">
        <v>0</v>
      </c>
      <c r="G76" s="134">
        <v>0</v>
      </c>
      <c r="H76" s="1">
        <v>100053</v>
      </c>
    </row>
    <row r="77" spans="1:8" s="23" customFormat="1" ht="5.25" customHeight="1" x14ac:dyDescent="0.15">
      <c r="A77" s="19"/>
      <c r="B77" s="30"/>
      <c r="C77" s="35"/>
      <c r="D77" s="35"/>
      <c r="E77" s="35"/>
      <c r="F77" s="35"/>
      <c r="G77" s="35"/>
      <c r="H77" s="17" t="s">
        <v>324</v>
      </c>
    </row>
    <row r="78" spans="1:8" s="112" customFormat="1" x14ac:dyDescent="0.15">
      <c r="A78" s="129" t="s">
        <v>30</v>
      </c>
      <c r="B78" s="130" t="s">
        <v>4</v>
      </c>
      <c r="C78" s="131">
        <f>C79+C80</f>
        <v>0</v>
      </c>
      <c r="D78" s="131">
        <f>D79+D80</f>
        <v>0</v>
      </c>
      <c r="E78" s="131">
        <f>E79+E80</f>
        <v>0</v>
      </c>
      <c r="F78" s="131">
        <f>F79+F80</f>
        <v>0</v>
      </c>
      <c r="G78" s="131">
        <f>G79+G80</f>
        <v>0</v>
      </c>
      <c r="H78" s="1">
        <v>100054</v>
      </c>
    </row>
    <row r="79" spans="1:8" s="112" customFormat="1" ht="13" x14ac:dyDescent="0.15">
      <c r="A79" s="132" t="s">
        <v>31</v>
      </c>
      <c r="B79" s="133"/>
      <c r="C79" s="134">
        <v>0</v>
      </c>
      <c r="D79" s="134">
        <v>0</v>
      </c>
      <c r="E79" s="134">
        <v>0</v>
      </c>
      <c r="F79" s="134">
        <v>0</v>
      </c>
      <c r="G79" s="134">
        <v>0</v>
      </c>
      <c r="H79" s="1">
        <v>100055</v>
      </c>
    </row>
    <row r="80" spans="1:8" s="1" customFormat="1" ht="13" x14ac:dyDescent="0.15">
      <c r="A80" s="132" t="s">
        <v>294</v>
      </c>
      <c r="B80" s="133"/>
      <c r="C80" s="134">
        <v>0</v>
      </c>
      <c r="D80" s="134">
        <v>0</v>
      </c>
      <c r="E80" s="134">
        <v>0</v>
      </c>
      <c r="F80" s="134">
        <v>0</v>
      </c>
      <c r="G80" s="134">
        <v>0</v>
      </c>
      <c r="H80" s="1">
        <v>100056</v>
      </c>
    </row>
    <row r="81" spans="1:8" s="24" customFormat="1" ht="6" customHeight="1" x14ac:dyDescent="0.15">
      <c r="A81" s="19"/>
      <c r="B81" s="30"/>
      <c r="C81" s="35"/>
      <c r="D81" s="35"/>
      <c r="E81" s="35"/>
      <c r="F81" s="35"/>
      <c r="G81" s="35"/>
      <c r="H81" s="17" t="s">
        <v>324</v>
      </c>
    </row>
    <row r="82" spans="1:8" s="127" customFormat="1" x14ac:dyDescent="0.15">
      <c r="A82" s="129" t="s">
        <v>32</v>
      </c>
      <c r="B82" s="130" t="s">
        <v>4</v>
      </c>
      <c r="C82" s="137">
        <v>66143.78</v>
      </c>
      <c r="D82" s="137">
        <v>-45654</v>
      </c>
      <c r="E82" s="137">
        <v>4000</v>
      </c>
      <c r="F82" s="137">
        <v>-62500</v>
      </c>
      <c r="G82" s="137">
        <v>-25300</v>
      </c>
      <c r="H82" s="1">
        <v>100057</v>
      </c>
    </row>
    <row r="83" spans="1:8" s="127" customFormat="1" ht="6" customHeight="1" x14ac:dyDescent="0.15">
      <c r="A83" s="129"/>
      <c r="B83" s="130"/>
      <c r="C83" s="135"/>
      <c r="D83" s="135"/>
      <c r="E83" s="135"/>
      <c r="F83" s="135"/>
      <c r="G83" s="135"/>
      <c r="H83" s="1" t="s">
        <v>324</v>
      </c>
    </row>
    <row r="84" spans="1:8" s="82" customFormat="1" x14ac:dyDescent="0.15">
      <c r="A84" s="136" t="s">
        <v>33</v>
      </c>
      <c r="B84" s="130" t="s">
        <v>4</v>
      </c>
      <c r="C84" s="131">
        <f>C85+C86</f>
        <v>0</v>
      </c>
      <c r="D84" s="131">
        <f>D85+D86</f>
        <v>0</v>
      </c>
      <c r="E84" s="131">
        <f>E85+E86</f>
        <v>0</v>
      </c>
      <c r="F84" s="131">
        <f>F85+F86</f>
        <v>0</v>
      </c>
      <c r="G84" s="131">
        <f>G85+G86</f>
        <v>0</v>
      </c>
      <c r="H84" s="1">
        <v>100058</v>
      </c>
    </row>
    <row r="85" spans="1:8" s="82" customFormat="1" ht="13" x14ac:dyDescent="0.15">
      <c r="A85" s="132" t="s">
        <v>17</v>
      </c>
      <c r="B85" s="133"/>
      <c r="C85" s="134">
        <v>0</v>
      </c>
      <c r="D85" s="134">
        <v>0</v>
      </c>
      <c r="E85" s="134">
        <v>0</v>
      </c>
      <c r="F85" s="134">
        <v>0</v>
      </c>
      <c r="G85" s="134">
        <v>0</v>
      </c>
      <c r="H85" s="1">
        <v>100059</v>
      </c>
    </row>
    <row r="86" spans="1:8" s="1" customFormat="1" ht="13" x14ac:dyDescent="0.15">
      <c r="A86" s="132" t="s">
        <v>18</v>
      </c>
      <c r="B86" s="133"/>
      <c r="C86" s="134">
        <v>0</v>
      </c>
      <c r="D86" s="134">
        <v>0</v>
      </c>
      <c r="E86" s="134">
        <v>0</v>
      </c>
      <c r="F86" s="134">
        <v>0</v>
      </c>
      <c r="G86" s="134">
        <v>0</v>
      </c>
      <c r="H86" s="1">
        <v>100060</v>
      </c>
    </row>
    <row r="87" spans="1:8" ht="5.25" customHeight="1" x14ac:dyDescent="0.15">
      <c r="A87" s="33"/>
      <c r="B87" s="34"/>
      <c r="C87" s="35"/>
      <c r="D87" s="35"/>
      <c r="E87" s="35"/>
      <c r="F87" s="35"/>
      <c r="G87" s="35"/>
      <c r="H87" s="17" t="s">
        <v>324</v>
      </c>
    </row>
    <row r="88" spans="1:8" s="127" customFormat="1" x14ac:dyDescent="0.15">
      <c r="A88" s="136" t="s">
        <v>34</v>
      </c>
      <c r="B88" s="130" t="s">
        <v>3</v>
      </c>
      <c r="C88" s="137">
        <v>0</v>
      </c>
      <c r="D88" s="137">
        <v>0</v>
      </c>
      <c r="E88" s="137">
        <v>0</v>
      </c>
      <c r="F88" s="137">
        <v>0</v>
      </c>
      <c r="G88" s="137">
        <v>0</v>
      </c>
      <c r="H88" s="1">
        <v>100061</v>
      </c>
    </row>
    <row r="89" spans="1:8" s="127" customFormat="1" ht="6" customHeight="1" x14ac:dyDescent="0.15">
      <c r="A89" s="157"/>
      <c r="B89" s="130"/>
      <c r="C89" s="159"/>
      <c r="D89" s="159"/>
      <c r="E89" s="159"/>
      <c r="F89" s="159"/>
      <c r="G89" s="159"/>
      <c r="H89" s="1"/>
    </row>
    <row r="90" spans="1:8" s="127" customFormat="1" x14ac:dyDescent="0.15">
      <c r="A90" s="157" t="s">
        <v>330</v>
      </c>
      <c r="B90" s="130" t="s">
        <v>5</v>
      </c>
      <c r="C90" s="137">
        <v>0</v>
      </c>
      <c r="D90" s="137">
        <v>0</v>
      </c>
      <c r="E90" s="137">
        <v>0</v>
      </c>
      <c r="F90" s="137">
        <v>0</v>
      </c>
      <c r="G90" s="137">
        <v>0</v>
      </c>
      <c r="H90" s="1">
        <v>100085</v>
      </c>
    </row>
    <row r="91" spans="1:8" s="23" customFormat="1" ht="6" customHeight="1" x14ac:dyDescent="0.15">
      <c r="A91" s="19"/>
      <c r="B91" s="30"/>
      <c r="C91" s="35"/>
      <c r="D91" s="35"/>
      <c r="E91" s="35"/>
      <c r="F91" s="35"/>
      <c r="G91" s="35"/>
      <c r="H91" s="1"/>
    </row>
    <row r="92" spans="1:8" s="82" customFormat="1" ht="15.5" customHeight="1" x14ac:dyDescent="0.2">
      <c r="A92" s="166" t="s">
        <v>339</v>
      </c>
      <c r="B92" s="146" t="s">
        <v>20</v>
      </c>
      <c r="C92" s="144">
        <f>C65+C73+C78+C82+C84+C88+C90</f>
        <v>101228.15</v>
      </c>
      <c r="D92" s="144">
        <f>D65+D73+D78+D82+D84+D88+D90</f>
        <v>173736</v>
      </c>
      <c r="E92" s="144">
        <f>E65+E73+E78+E82+E84+E88+E90</f>
        <v>117798</v>
      </c>
      <c r="F92" s="144">
        <f>F65+F73+F78+F82+F84+F88+F90</f>
        <v>22848.5</v>
      </c>
      <c r="G92" s="144">
        <f>G65+G73+G78+G82+G84+G88+G90</f>
        <v>55781.074999999997</v>
      </c>
      <c r="H92" s="1">
        <v>100062</v>
      </c>
    </row>
    <row r="93" spans="1:8" ht="7.5" customHeight="1" x14ac:dyDescent="0.15">
      <c r="A93" s="36"/>
      <c r="B93" s="32"/>
      <c r="C93" s="37"/>
      <c r="D93" s="37"/>
      <c r="E93" s="37"/>
      <c r="F93" s="37"/>
      <c r="G93" s="37"/>
      <c r="H93" s="17" t="s">
        <v>324</v>
      </c>
    </row>
    <row r="94" spans="1:8" s="55" customFormat="1" ht="16" x14ac:dyDescent="0.2">
      <c r="A94" s="102" t="s">
        <v>297</v>
      </c>
      <c r="B94" s="146" t="s">
        <v>20</v>
      </c>
      <c r="C94" s="144">
        <f>C63+C92</f>
        <v>561891.7699999992</v>
      </c>
      <c r="D94" s="144">
        <f>D63+D92</f>
        <v>224291.27400000033</v>
      </c>
      <c r="E94" s="144">
        <f>E63+E92</f>
        <v>194540.0271840014</v>
      </c>
      <c r="F94" s="144">
        <f>F63+F92</f>
        <v>119685.86608360452</v>
      </c>
      <c r="G94" s="144">
        <f>G63+G92</f>
        <v>22955.587668342094</v>
      </c>
      <c r="H94" s="1">
        <v>100063</v>
      </c>
    </row>
    <row r="95" spans="1:8" s="38" customFormat="1" ht="5" customHeight="1" x14ac:dyDescent="0.15">
      <c r="A95" s="36"/>
      <c r="B95" s="32"/>
      <c r="C95" s="37"/>
      <c r="D95" s="37"/>
      <c r="E95" s="37"/>
      <c r="F95" s="37"/>
      <c r="G95" s="37"/>
      <c r="H95" s="17" t="s">
        <v>324</v>
      </c>
    </row>
    <row r="96" spans="1:8" s="82" customFormat="1" x14ac:dyDescent="0.15">
      <c r="A96" s="129" t="s">
        <v>35</v>
      </c>
      <c r="B96" s="130" t="s">
        <v>5</v>
      </c>
      <c r="C96" s="137">
        <v>0</v>
      </c>
      <c r="D96" s="137">
        <v>0</v>
      </c>
      <c r="E96" s="137">
        <v>0</v>
      </c>
      <c r="F96" s="137">
        <v>0</v>
      </c>
      <c r="G96" s="137">
        <v>0</v>
      </c>
      <c r="H96" s="1">
        <v>100064</v>
      </c>
    </row>
    <row r="97" spans="1:8" s="23" customFormat="1" ht="5" customHeight="1" x14ac:dyDescent="0.15">
      <c r="A97" s="36"/>
      <c r="B97" s="32"/>
      <c r="C97" s="37"/>
      <c r="D97" s="37"/>
      <c r="E97" s="37"/>
      <c r="F97" s="37"/>
      <c r="G97" s="37"/>
      <c r="H97" s="17" t="s">
        <v>324</v>
      </c>
    </row>
    <row r="98" spans="1:8" s="55" customFormat="1" ht="15.5" customHeight="1" x14ac:dyDescent="0.2">
      <c r="A98" s="145" t="s">
        <v>296</v>
      </c>
      <c r="B98" s="146" t="s">
        <v>20</v>
      </c>
      <c r="C98" s="144">
        <f>C94+C96</f>
        <v>561891.7699999992</v>
      </c>
      <c r="D98" s="144">
        <f>D94+D96</f>
        <v>224291.27400000033</v>
      </c>
      <c r="E98" s="144">
        <f>E94+E96</f>
        <v>194540.0271840014</v>
      </c>
      <c r="F98" s="144">
        <f>F94+F96</f>
        <v>119685.86608360452</v>
      </c>
      <c r="G98" s="144">
        <f>G94+G96</f>
        <v>22955.587668342094</v>
      </c>
      <c r="H98" s="1">
        <v>100065</v>
      </c>
    </row>
    <row r="99" spans="1:8" x14ac:dyDescent="0.15">
      <c r="A99" s="36"/>
      <c r="B99" s="32"/>
      <c r="C99" s="37"/>
      <c r="D99" s="37"/>
      <c r="E99" s="37"/>
      <c r="F99" s="37"/>
      <c r="G99" s="37"/>
      <c r="H99" s="17" t="s">
        <v>324</v>
      </c>
    </row>
    <row r="100" spans="1:8" s="58" customFormat="1" ht="17" x14ac:dyDescent="0.2">
      <c r="A100" s="147" t="s">
        <v>36</v>
      </c>
      <c r="B100" s="148"/>
      <c r="C100" s="149"/>
      <c r="D100" s="149"/>
      <c r="E100" s="149"/>
      <c r="F100" s="149"/>
      <c r="G100" s="149"/>
      <c r="H100" s="1" t="s">
        <v>324</v>
      </c>
    </row>
    <row r="101" spans="1:8" s="20" customFormat="1" ht="6.75" customHeight="1" x14ac:dyDescent="0.2">
      <c r="A101" s="40"/>
      <c r="B101" s="41"/>
      <c r="C101" s="42"/>
      <c r="D101" s="42"/>
      <c r="E101" s="42"/>
      <c r="F101" s="42"/>
      <c r="G101" s="42"/>
      <c r="H101" s="17" t="s">
        <v>324</v>
      </c>
    </row>
    <row r="102" spans="1:8" s="55" customFormat="1" x14ac:dyDescent="0.15">
      <c r="A102" s="136" t="s">
        <v>295</v>
      </c>
      <c r="B102" s="130" t="s">
        <v>4</v>
      </c>
      <c r="C102" s="137">
        <v>0</v>
      </c>
      <c r="D102" s="137">
        <v>0</v>
      </c>
      <c r="E102" s="137">
        <v>0</v>
      </c>
      <c r="F102" s="137">
        <v>0</v>
      </c>
      <c r="G102" s="137">
        <v>0</v>
      </c>
      <c r="H102" s="1">
        <v>100066</v>
      </c>
    </row>
    <row r="103" spans="1:8" s="20" customFormat="1" ht="8.5" customHeight="1" x14ac:dyDescent="0.2">
      <c r="A103" s="36"/>
      <c r="B103" s="32"/>
      <c r="C103" s="37"/>
      <c r="D103" s="37"/>
      <c r="E103" s="37"/>
      <c r="F103" s="37"/>
      <c r="G103" s="37"/>
      <c r="H103" s="17" t="s">
        <v>324</v>
      </c>
    </row>
    <row r="104" spans="1:8" s="55" customFormat="1" ht="15.5" customHeight="1" x14ac:dyDescent="0.2">
      <c r="A104" s="171" t="s">
        <v>298</v>
      </c>
      <c r="B104" s="130" t="s">
        <v>20</v>
      </c>
      <c r="C104" s="144">
        <f>C98+C102</f>
        <v>561891.7699999992</v>
      </c>
      <c r="D104" s="144">
        <f>D98+D102</f>
        <v>224291.27400000033</v>
      </c>
      <c r="E104" s="144">
        <f>E98+E102</f>
        <v>194540.0271840014</v>
      </c>
      <c r="F104" s="144">
        <f>F98+F102</f>
        <v>119685.86608360452</v>
      </c>
      <c r="G104" s="144">
        <f>G98+G102</f>
        <v>22955.587668342094</v>
      </c>
      <c r="H104" s="1">
        <v>100067</v>
      </c>
    </row>
    <row r="105" spans="1:8" s="24" customFormat="1" ht="7.25" customHeight="1" x14ac:dyDescent="0.15">
      <c r="A105" s="19"/>
      <c r="B105" s="30"/>
      <c r="C105" s="31"/>
      <c r="D105" s="17"/>
      <c r="H105" s="17" t="s">
        <v>324</v>
      </c>
    </row>
    <row r="106" spans="1:8" s="58" customFormat="1" ht="16" x14ac:dyDescent="0.2">
      <c r="A106" s="102" t="s">
        <v>299</v>
      </c>
      <c r="B106" s="146"/>
      <c r="C106" s="97"/>
      <c r="H106" s="58" t="s">
        <v>324</v>
      </c>
    </row>
    <row r="107" spans="1:8" s="20" customFormat="1" ht="6" customHeight="1" x14ac:dyDescent="0.2">
      <c r="A107" s="19"/>
      <c r="B107" s="30"/>
      <c r="C107" s="31"/>
      <c r="D107" s="17"/>
      <c r="H107" s="17" t="s">
        <v>324</v>
      </c>
    </row>
    <row r="108" spans="1:8" s="55" customFormat="1" x14ac:dyDescent="0.15">
      <c r="A108" s="129" t="s">
        <v>300</v>
      </c>
      <c r="B108" s="130" t="s">
        <v>4</v>
      </c>
      <c r="C108" s="137">
        <v>0</v>
      </c>
      <c r="D108" s="114">
        <v>0</v>
      </c>
      <c r="E108" s="114">
        <v>0</v>
      </c>
      <c r="F108" s="114">
        <v>0</v>
      </c>
      <c r="G108" s="114">
        <v>0</v>
      </c>
      <c r="H108" s="1">
        <v>100068</v>
      </c>
    </row>
    <row r="109" spans="1:8" s="98" customFormat="1" ht="4.5" customHeight="1" x14ac:dyDescent="0.2">
      <c r="A109" s="129"/>
      <c r="B109" s="130"/>
      <c r="C109" s="159"/>
      <c r="D109" s="160"/>
      <c r="E109" s="160"/>
      <c r="F109" s="160"/>
      <c r="G109" s="160"/>
      <c r="H109" s="1" t="s">
        <v>324</v>
      </c>
    </row>
    <row r="110" spans="1:8" s="55" customFormat="1" ht="15.75" customHeight="1" x14ac:dyDescent="0.15">
      <c r="A110" s="129" t="s">
        <v>301</v>
      </c>
      <c r="B110" s="130" t="s">
        <v>4</v>
      </c>
      <c r="C110" s="137">
        <v>0</v>
      </c>
      <c r="D110" s="114">
        <v>0</v>
      </c>
      <c r="E110" s="114">
        <v>0</v>
      </c>
      <c r="F110" s="114">
        <v>0</v>
      </c>
      <c r="G110" s="114">
        <v>0</v>
      </c>
      <c r="H110" s="1">
        <v>100069</v>
      </c>
    </row>
    <row r="111" spans="1:8" s="55" customFormat="1" ht="4.5" customHeight="1" x14ac:dyDescent="0.15">
      <c r="A111" s="129"/>
      <c r="B111" s="130"/>
      <c r="C111" s="159"/>
      <c r="D111" s="160"/>
      <c r="E111" s="160"/>
      <c r="F111" s="160"/>
      <c r="G111" s="160"/>
      <c r="H111" s="1" t="s">
        <v>324</v>
      </c>
    </row>
    <row r="112" spans="1:8" s="55" customFormat="1" x14ac:dyDescent="0.15">
      <c r="A112" s="129" t="s">
        <v>302</v>
      </c>
      <c r="B112" s="130" t="s">
        <v>3</v>
      </c>
      <c r="C112" s="137">
        <v>572807</v>
      </c>
      <c r="D112" s="114">
        <v>572807</v>
      </c>
      <c r="E112" s="114">
        <f>+D112+2500000+1000000</f>
        <v>4072807</v>
      </c>
      <c r="F112" s="114">
        <v>25019</v>
      </c>
      <c r="G112" s="114">
        <v>0</v>
      </c>
      <c r="H112" s="1">
        <v>100070</v>
      </c>
    </row>
    <row r="113" spans="1:8" s="55" customFormat="1" ht="3.75" customHeight="1" x14ac:dyDescent="0.15">
      <c r="A113" s="129"/>
      <c r="B113" s="130"/>
      <c r="C113" s="159"/>
      <c r="D113" s="160"/>
      <c r="E113" s="160"/>
      <c r="F113" s="160"/>
      <c r="G113" s="160"/>
      <c r="H113" s="1" t="s">
        <v>324</v>
      </c>
    </row>
    <row r="114" spans="1:8" s="58" customFormat="1" ht="16" x14ac:dyDescent="0.2">
      <c r="A114" s="129" t="s">
        <v>304</v>
      </c>
      <c r="B114" s="130" t="s">
        <v>4</v>
      </c>
      <c r="C114" s="137">
        <v>0</v>
      </c>
      <c r="D114" s="114">
        <v>0</v>
      </c>
      <c r="E114" s="114">
        <v>0</v>
      </c>
      <c r="F114" s="114">
        <v>0</v>
      </c>
      <c r="G114" s="114">
        <v>0</v>
      </c>
      <c r="H114" s="1">
        <v>100071</v>
      </c>
    </row>
    <row r="115" spans="1:8" s="55" customFormat="1" ht="3.75" customHeight="1" x14ac:dyDescent="0.15">
      <c r="A115" s="129"/>
      <c r="B115" s="130"/>
      <c r="C115" s="159"/>
      <c r="D115" s="160"/>
      <c r="E115" s="160"/>
      <c r="F115" s="160"/>
      <c r="G115" s="160"/>
      <c r="H115" s="1" t="s">
        <v>324</v>
      </c>
    </row>
    <row r="116" spans="1:8" s="1" customFormat="1" x14ac:dyDescent="0.15">
      <c r="A116" s="129" t="s">
        <v>303</v>
      </c>
      <c r="B116" s="130" t="s">
        <v>4</v>
      </c>
      <c r="C116" s="137">
        <v>0</v>
      </c>
      <c r="D116" s="114">
        <v>0</v>
      </c>
      <c r="E116" s="114">
        <v>0</v>
      </c>
      <c r="F116" s="114">
        <v>0</v>
      </c>
      <c r="G116" s="114">
        <v>0</v>
      </c>
      <c r="H116" s="1">
        <v>100072</v>
      </c>
    </row>
    <row r="117" spans="1:8" ht="7.5" customHeight="1" x14ac:dyDescent="0.15">
      <c r="C117" s="35"/>
      <c r="D117" s="21"/>
      <c r="E117" s="21"/>
      <c r="F117" s="21"/>
      <c r="G117" s="21"/>
      <c r="H117" s="17" t="s">
        <v>324</v>
      </c>
    </row>
    <row r="118" spans="1:8" s="103" customFormat="1" ht="15" customHeight="1" x14ac:dyDescent="0.2">
      <c r="A118" s="188" t="s">
        <v>305</v>
      </c>
      <c r="B118" s="150"/>
      <c r="C118" s="151"/>
      <c r="D118" s="152"/>
      <c r="E118" s="152"/>
      <c r="F118" s="152"/>
      <c r="G118" s="152"/>
      <c r="H118" s="103" t="s">
        <v>324</v>
      </c>
    </row>
    <row r="119" spans="1:8" s="103" customFormat="1" ht="16" x14ac:dyDescent="0.2">
      <c r="A119" s="188"/>
      <c r="B119" s="153" t="s">
        <v>20</v>
      </c>
      <c r="C119" s="144">
        <f>C108+C110+C112+C114+C116</f>
        <v>572807</v>
      </c>
      <c r="D119" s="144">
        <f>D108+D110+D112+D114+D116</f>
        <v>572807</v>
      </c>
      <c r="E119" s="144">
        <f>E108+E110+E112+E114+E116</f>
        <v>4072807</v>
      </c>
      <c r="F119" s="144">
        <f>F108+F110+F112+F114+F116</f>
        <v>25019</v>
      </c>
      <c r="G119" s="144">
        <f>G108+G110+G112+G114+G116</f>
        <v>0</v>
      </c>
      <c r="H119" s="103">
        <v>100073</v>
      </c>
    </row>
    <row r="120" spans="1:8" s="1" customFormat="1" ht="9" customHeight="1" x14ac:dyDescent="0.15">
      <c r="A120" s="94"/>
      <c r="B120" s="95"/>
      <c r="C120" s="100"/>
      <c r="H120" s="1" t="s">
        <v>324</v>
      </c>
    </row>
    <row r="121" spans="1:8" s="103" customFormat="1" ht="16" x14ac:dyDescent="0.2">
      <c r="A121" s="102" t="s">
        <v>306</v>
      </c>
      <c r="B121" s="150"/>
      <c r="C121" s="154"/>
      <c r="H121" s="103" t="s">
        <v>324</v>
      </c>
    </row>
    <row r="122" spans="1:8" s="1" customFormat="1" ht="5.25" customHeight="1" x14ac:dyDescent="0.15">
      <c r="A122" s="94"/>
      <c r="B122" s="95"/>
      <c r="C122" s="100"/>
      <c r="H122" s="1" t="s">
        <v>324</v>
      </c>
    </row>
    <row r="123" spans="1:8" s="55" customFormat="1" x14ac:dyDescent="0.15">
      <c r="A123" s="129" t="s">
        <v>300</v>
      </c>
      <c r="B123" s="130" t="s">
        <v>4</v>
      </c>
      <c r="C123" s="137">
        <v>0</v>
      </c>
      <c r="D123" s="114">
        <v>0</v>
      </c>
      <c r="E123" s="114">
        <v>0</v>
      </c>
      <c r="F123" s="114">
        <v>0</v>
      </c>
      <c r="G123" s="114">
        <v>0</v>
      </c>
      <c r="H123" s="1">
        <v>100074</v>
      </c>
    </row>
    <row r="124" spans="1:8" s="98" customFormat="1" ht="4.5" customHeight="1" x14ac:dyDescent="0.2">
      <c r="A124" s="129"/>
      <c r="B124" s="130"/>
      <c r="C124" s="159"/>
      <c r="D124" s="160"/>
      <c r="E124" s="160"/>
      <c r="F124" s="160"/>
      <c r="G124" s="160"/>
      <c r="H124" s="1" t="s">
        <v>324</v>
      </c>
    </row>
    <row r="125" spans="1:8" s="55" customFormat="1" ht="15.75" customHeight="1" x14ac:dyDescent="0.15">
      <c r="A125" s="129" t="s">
        <v>301</v>
      </c>
      <c r="B125" s="130" t="s">
        <v>4</v>
      </c>
      <c r="C125" s="137">
        <v>0</v>
      </c>
      <c r="D125" s="114">
        <v>0</v>
      </c>
      <c r="E125" s="114">
        <v>0</v>
      </c>
      <c r="F125" s="114">
        <v>0</v>
      </c>
      <c r="G125" s="114">
        <v>0</v>
      </c>
      <c r="H125" s="1">
        <v>100075</v>
      </c>
    </row>
    <row r="126" spans="1:8" s="55" customFormat="1" ht="4.5" customHeight="1" x14ac:dyDescent="0.15">
      <c r="A126" s="129"/>
      <c r="B126" s="130"/>
      <c r="C126" s="159"/>
      <c r="D126" s="160"/>
      <c r="E126" s="160"/>
      <c r="F126" s="160"/>
      <c r="G126" s="160"/>
      <c r="H126" s="1" t="s">
        <v>324</v>
      </c>
    </row>
    <row r="127" spans="1:8" s="55" customFormat="1" x14ac:dyDescent="0.15">
      <c r="A127" s="129" t="s">
        <v>302</v>
      </c>
      <c r="B127" s="130" t="s">
        <v>5</v>
      </c>
      <c r="C127" s="137">
        <v>-596025.63</v>
      </c>
      <c r="D127" s="114">
        <v>-538216</v>
      </c>
      <c r="E127" s="114">
        <f>+D127</f>
        <v>-538216</v>
      </c>
      <c r="F127" s="114">
        <f>+E127-200000</f>
        <v>-738216</v>
      </c>
      <c r="G127" s="114">
        <f>+F127-50000</f>
        <v>-788216</v>
      </c>
      <c r="H127" s="1">
        <v>100076</v>
      </c>
    </row>
    <row r="128" spans="1:8" s="55" customFormat="1" ht="3.75" customHeight="1" x14ac:dyDescent="0.15">
      <c r="A128" s="129"/>
      <c r="B128" s="130"/>
      <c r="C128" s="159"/>
      <c r="D128" s="160"/>
      <c r="E128" s="160"/>
      <c r="F128" s="160"/>
      <c r="G128" s="160"/>
      <c r="H128" s="1" t="s">
        <v>324</v>
      </c>
    </row>
    <row r="129" spans="1:8" s="58" customFormat="1" ht="16" x14ac:dyDescent="0.2">
      <c r="A129" s="129" t="s">
        <v>304</v>
      </c>
      <c r="B129" s="130" t="s">
        <v>4</v>
      </c>
      <c r="C129" s="137">
        <v>-25174.400000000001</v>
      </c>
      <c r="D129" s="114">
        <v>0</v>
      </c>
      <c r="E129" s="114">
        <v>0</v>
      </c>
      <c r="F129" s="114">
        <v>0</v>
      </c>
      <c r="G129" s="114">
        <v>0</v>
      </c>
      <c r="H129" s="1">
        <v>100077</v>
      </c>
    </row>
    <row r="130" spans="1:8" s="1" customFormat="1" ht="3" customHeight="1" x14ac:dyDescent="0.15">
      <c r="A130" s="94"/>
      <c r="B130" s="95"/>
      <c r="C130" s="100"/>
      <c r="H130" s="1" t="s">
        <v>324</v>
      </c>
    </row>
    <row r="131" spans="1:8" s="103" customFormat="1" ht="15" customHeight="1" x14ac:dyDescent="0.2">
      <c r="A131" s="188" t="s">
        <v>307</v>
      </c>
      <c r="B131" s="150"/>
      <c r="C131" s="151"/>
      <c r="D131" s="152"/>
      <c r="E131" s="152"/>
      <c r="F131" s="152"/>
      <c r="G131" s="152"/>
      <c r="H131" s="103" t="s">
        <v>324</v>
      </c>
    </row>
    <row r="132" spans="1:8" s="103" customFormat="1" ht="16" x14ac:dyDescent="0.2">
      <c r="A132" s="188"/>
      <c r="B132" s="153" t="s">
        <v>20</v>
      </c>
      <c r="C132" s="144">
        <f>C123+C125+C127+C129</f>
        <v>-621200.03</v>
      </c>
      <c r="D132" s="144">
        <f>D123+D125+D127+D129</f>
        <v>-538216</v>
      </c>
      <c r="E132" s="144">
        <f>E123+E125+E127+E129</f>
        <v>-538216</v>
      </c>
      <c r="F132" s="144">
        <f>F123+F125+F127+F129</f>
        <v>-738216</v>
      </c>
      <c r="G132" s="144">
        <f>G123+G125+G127+G129</f>
        <v>-788216</v>
      </c>
      <c r="H132" s="103">
        <v>100078</v>
      </c>
    </row>
    <row r="133" spans="1:8" s="103" customFormat="1" ht="7.5" customHeight="1" x14ac:dyDescent="0.2">
      <c r="A133" s="155"/>
      <c r="B133" s="150"/>
      <c r="C133" s="154"/>
      <c r="H133" s="103" t="s">
        <v>324</v>
      </c>
    </row>
    <row r="134" spans="1:8" s="103" customFormat="1" ht="15" customHeight="1" x14ac:dyDescent="0.2">
      <c r="A134" s="189" t="s">
        <v>308</v>
      </c>
      <c r="B134" s="150"/>
      <c r="C134" s="154"/>
      <c r="H134" s="103" t="s">
        <v>324</v>
      </c>
    </row>
    <row r="135" spans="1:8" s="103" customFormat="1" ht="16" x14ac:dyDescent="0.2">
      <c r="A135" s="189"/>
      <c r="B135" s="146" t="s">
        <v>20</v>
      </c>
      <c r="C135" s="144">
        <f>C119+C132</f>
        <v>-48393.030000000028</v>
      </c>
      <c r="D135" s="144">
        <f>D119+D132</f>
        <v>34591</v>
      </c>
      <c r="E135" s="144">
        <f>E119+E132</f>
        <v>3534591</v>
      </c>
      <c r="F135" s="144">
        <f>F119+F132</f>
        <v>-713197</v>
      </c>
      <c r="G135" s="144">
        <f>G119+G132</f>
        <v>-788216</v>
      </c>
      <c r="H135" s="103">
        <v>100079</v>
      </c>
    </row>
    <row r="136" spans="1:8" s="103" customFormat="1" ht="8.5" customHeight="1" x14ac:dyDescent="0.2">
      <c r="A136" s="155"/>
      <c r="B136" s="150"/>
      <c r="C136" s="154"/>
      <c r="H136" s="103" t="s">
        <v>324</v>
      </c>
    </row>
    <row r="137" spans="1:8" s="103" customFormat="1" ht="16" x14ac:dyDescent="0.2">
      <c r="A137" s="102" t="s">
        <v>309</v>
      </c>
      <c r="B137" s="146" t="s">
        <v>4</v>
      </c>
      <c r="C137" s="161">
        <v>0</v>
      </c>
      <c r="D137" s="162">
        <v>0</v>
      </c>
      <c r="E137" s="162">
        <v>0</v>
      </c>
      <c r="F137" s="162">
        <v>0</v>
      </c>
      <c r="G137" s="162">
        <v>0</v>
      </c>
      <c r="H137" s="103">
        <v>100080</v>
      </c>
    </row>
    <row r="138" spans="1:8" s="103" customFormat="1" ht="3" customHeight="1" x14ac:dyDescent="0.2">
      <c r="A138" s="102"/>
      <c r="B138" s="146"/>
      <c r="C138" s="163"/>
      <c r="D138" s="164"/>
      <c r="E138" s="164"/>
      <c r="F138" s="164"/>
      <c r="G138" s="164"/>
      <c r="H138" s="103" t="s">
        <v>324</v>
      </c>
    </row>
    <row r="139" spans="1:8" s="103" customFormat="1" ht="16" x14ac:dyDescent="0.2">
      <c r="A139" s="102" t="s">
        <v>310</v>
      </c>
      <c r="B139" s="146" t="s">
        <v>4</v>
      </c>
      <c r="C139" s="161">
        <v>-117399.93</v>
      </c>
      <c r="D139" s="162">
        <v>0</v>
      </c>
      <c r="E139" s="162">
        <v>0</v>
      </c>
      <c r="F139" s="162">
        <v>0</v>
      </c>
      <c r="G139" s="162">
        <v>0</v>
      </c>
      <c r="H139" s="103">
        <v>100081</v>
      </c>
    </row>
    <row r="140" spans="1:8" s="103" customFormat="1" ht="3.75" customHeight="1" x14ac:dyDescent="0.2">
      <c r="A140" s="102"/>
      <c r="B140" s="146"/>
      <c r="C140" s="163"/>
      <c r="D140" s="164"/>
      <c r="E140" s="164"/>
      <c r="F140" s="164"/>
      <c r="G140" s="164"/>
      <c r="H140" s="103" t="s">
        <v>324</v>
      </c>
    </row>
    <row r="141" spans="1:8" s="103" customFormat="1" ht="16" x14ac:dyDescent="0.2">
      <c r="A141" s="102" t="s">
        <v>311</v>
      </c>
      <c r="B141" s="146" t="s">
        <v>4</v>
      </c>
      <c r="C141" s="161">
        <v>0</v>
      </c>
      <c r="D141" s="162">
        <v>0</v>
      </c>
      <c r="E141" s="162">
        <v>0</v>
      </c>
      <c r="F141" s="162">
        <v>0</v>
      </c>
      <c r="G141" s="162">
        <v>0</v>
      </c>
      <c r="H141" s="103">
        <v>100082</v>
      </c>
    </row>
    <row r="142" spans="1:8" s="103" customFormat="1" ht="3" customHeight="1" x14ac:dyDescent="0.2">
      <c r="A142" s="102"/>
      <c r="B142" s="146"/>
      <c r="C142" s="163"/>
      <c r="D142" s="164"/>
      <c r="E142" s="164"/>
      <c r="F142" s="164"/>
      <c r="G142" s="164"/>
      <c r="H142" s="103" t="s">
        <v>324</v>
      </c>
    </row>
    <row r="143" spans="1:8" s="103" customFormat="1" ht="16" x14ac:dyDescent="0.2">
      <c r="A143" s="102" t="s">
        <v>312</v>
      </c>
      <c r="B143" s="146" t="s">
        <v>4</v>
      </c>
      <c r="C143" s="161">
        <v>0</v>
      </c>
      <c r="D143" s="162">
        <v>0</v>
      </c>
      <c r="E143" s="162">
        <v>0</v>
      </c>
      <c r="F143" s="162">
        <v>0</v>
      </c>
      <c r="G143" s="162">
        <v>0</v>
      </c>
      <c r="H143" s="103">
        <v>100083</v>
      </c>
    </row>
    <row r="144" spans="1:8" s="103" customFormat="1" ht="7.25" customHeight="1" x14ac:dyDescent="0.2">
      <c r="A144" s="155"/>
      <c r="B144" s="150"/>
      <c r="C144" s="151"/>
      <c r="D144" s="152"/>
      <c r="E144" s="152"/>
      <c r="F144" s="152"/>
      <c r="G144" s="152"/>
      <c r="H144" s="103" t="s">
        <v>324</v>
      </c>
    </row>
    <row r="145" spans="1:8" s="103" customFormat="1" ht="17" x14ac:dyDescent="0.2">
      <c r="A145" s="171" t="s">
        <v>313</v>
      </c>
      <c r="B145" s="146" t="s">
        <v>20</v>
      </c>
      <c r="C145" s="144">
        <f>C104+C135+C137+C139+C141+C143</f>
        <v>396098.80999999918</v>
      </c>
      <c r="D145" s="144">
        <f>D104+D135+D137+D139+D141+D143</f>
        <v>258882.27400000033</v>
      </c>
      <c r="E145" s="144">
        <f>E104+E135+E137+E139+E141+E143</f>
        <v>3729131.0271840012</v>
      </c>
      <c r="F145" s="144">
        <f>F104+F135+F137+F139+F141+F143</f>
        <v>-593511.13391639548</v>
      </c>
      <c r="G145" s="144">
        <f>G104+G135+G137+G139+G141+G143</f>
        <v>-765260.41233165795</v>
      </c>
      <c r="H145" s="103">
        <v>100084</v>
      </c>
    </row>
  </sheetData>
  <sheetProtection algorithmName="SHA-512" hashValue="/rQUM3waEeKrOZhlsQXF/TI3PIxqcPs+FDcHK646Sx8caRTRCec+QPws7CmfnJv1xH0xb1RzwKPFaErS9WsRLw==" saltValue="tf2B5pGpPKf5gynwsy1/iA==" spinCount="100000" sheet="1" selectLockedCells="1"/>
  <mergeCells count="4">
    <mergeCell ref="A131:A132"/>
    <mergeCell ref="A134:A135"/>
    <mergeCell ref="D3:G3"/>
    <mergeCell ref="A118:A119"/>
  </mergeCells>
  <phoneticPr fontId="0" type="noConversion"/>
  <pageMargins left="0.43307086614173229" right="0.19685039370078741" top="0.19685039370078741" bottom="0.19685039370078741" header="0" footer="0"/>
  <pageSetup paperSize="9" scale="68" orientation="landscape" r:id="rId1"/>
  <headerFooter alignWithMargins="0"/>
  <ignoredErrors>
    <ignoredError sqref="D12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106"/>
  <sheetViews>
    <sheetView workbookViewId="0">
      <selection activeCell="E89" sqref="E89"/>
    </sheetView>
  </sheetViews>
  <sheetFormatPr baseColWidth="10" defaultColWidth="11.5" defaultRowHeight="13" x14ac:dyDescent="0.15"/>
  <cols>
    <col min="1" max="1" width="95.33203125" style="45" customWidth="1"/>
    <col min="2" max="2" width="4.5" style="46" customWidth="1"/>
    <col min="3" max="3" width="15.6640625" style="54" customWidth="1"/>
    <col min="4" max="7" width="15.6640625" style="45" customWidth="1"/>
    <col min="8" max="8" width="7.6640625" style="45" hidden="1" customWidth="1"/>
    <col min="9" max="9" width="7.6640625" style="45" customWidth="1"/>
    <col min="10" max="16384" width="11.5" style="45"/>
  </cols>
  <sheetData>
    <row r="1" spans="1:8" s="55" customFormat="1" x14ac:dyDescent="0.15">
      <c r="B1" s="56"/>
      <c r="C1" s="57"/>
    </row>
    <row r="2" spans="1:8" s="58" customFormat="1" ht="17" thickBot="1" x14ac:dyDescent="0.25">
      <c r="A2" s="58" t="str">
        <f>IF('DATOS EMPRESA'!C4&lt;&gt;"",'DATOS EMPRESA'!C4,"")</f>
        <v>FUNDACIÓN INSTITUTO HIDRAÚLICA AMBIENTAL DE CANTABRIA</v>
      </c>
      <c r="B2" s="56"/>
      <c r="C2" s="59"/>
      <c r="H2" s="55"/>
    </row>
    <row r="3" spans="1:8" s="55" customFormat="1" x14ac:dyDescent="0.15">
      <c r="B3" s="179"/>
      <c r="C3" s="168" t="s">
        <v>337</v>
      </c>
      <c r="D3" s="190" t="s">
        <v>0</v>
      </c>
      <c r="E3" s="191"/>
      <c r="F3" s="191"/>
      <c r="G3" s="192"/>
    </row>
    <row r="4" spans="1:8" s="60" customFormat="1" ht="19" thickBot="1" x14ac:dyDescent="0.25">
      <c r="A4" s="60" t="s">
        <v>37</v>
      </c>
      <c r="B4" s="179"/>
      <c r="C4" s="184">
        <v>2023</v>
      </c>
      <c r="D4" s="167">
        <v>2024</v>
      </c>
      <c r="E4" s="167">
        <v>2025</v>
      </c>
      <c r="F4" s="167">
        <v>2026</v>
      </c>
      <c r="G4" s="185">
        <v>2027</v>
      </c>
      <c r="H4" s="55"/>
    </row>
    <row r="5" spans="1:8" s="60" customFormat="1" ht="18" x14ac:dyDescent="0.2">
      <c r="B5" s="56"/>
      <c r="C5" s="61"/>
      <c r="D5" s="61"/>
      <c r="E5" s="61"/>
      <c r="H5" s="55"/>
    </row>
    <row r="6" spans="1:8" s="58" customFormat="1" ht="16" x14ac:dyDescent="0.2">
      <c r="A6" s="58" t="s">
        <v>38</v>
      </c>
      <c r="B6" s="56"/>
      <c r="H6" s="55"/>
    </row>
    <row r="7" spans="1:8" s="47" customFormat="1" x14ac:dyDescent="0.15">
      <c r="B7" s="44"/>
      <c r="C7" s="48"/>
      <c r="H7" s="45"/>
    </row>
    <row r="8" spans="1:8" s="62" customFormat="1" x14ac:dyDescent="0.15">
      <c r="A8" s="62" t="s">
        <v>214</v>
      </c>
      <c r="B8" s="63"/>
      <c r="C8" s="64">
        <f>EXPLOTACIÓN!C94</f>
        <v>561891.7699999992</v>
      </c>
      <c r="D8" s="64">
        <f>EXPLOTACIÓN!D94</f>
        <v>224291.27400000033</v>
      </c>
      <c r="E8" s="64">
        <f>EXPLOTACIÓN!E94</f>
        <v>194540.0271840014</v>
      </c>
      <c r="F8" s="64">
        <f>EXPLOTACIÓN!F94</f>
        <v>119685.86608360452</v>
      </c>
      <c r="G8" s="64">
        <f>EXPLOTACIÓN!G94</f>
        <v>22955.587668342094</v>
      </c>
      <c r="H8" s="65">
        <v>400000</v>
      </c>
    </row>
    <row r="9" spans="1:8" s="62" customFormat="1" ht="6" customHeight="1" x14ac:dyDescent="0.15">
      <c r="B9" s="63"/>
      <c r="C9" s="66"/>
      <c r="D9" s="66"/>
      <c r="E9" s="66"/>
      <c r="F9" s="66"/>
      <c r="G9" s="66"/>
      <c r="H9" s="65" t="s">
        <v>324</v>
      </c>
    </row>
    <row r="10" spans="1:8" s="62" customFormat="1" x14ac:dyDescent="0.15">
      <c r="A10" s="62" t="s">
        <v>39</v>
      </c>
      <c r="B10" s="63"/>
      <c r="C10" s="64">
        <f>C11+C12+C13+C14+C15+C16+C17+C18+C19+C20+C21</f>
        <v>-15335.339999999938</v>
      </c>
      <c r="D10" s="64">
        <f>D11+D12+D13+D14+D15+D16+D17+D18+D19+D20+D21</f>
        <v>81845.329999999958</v>
      </c>
      <c r="E10" s="64">
        <f>E11+E12+E13+E14+E15+E16+E17+E18+E19+E20+E21</f>
        <v>94421</v>
      </c>
      <c r="F10" s="64">
        <f>F11+F12+F13+F14+F15+F16+F17+F18+F19+F20+F21</f>
        <v>189370.5</v>
      </c>
      <c r="G10" s="64">
        <f>G11+G12+G13+G14+G15+G16+G17+G18+G19+G20+G21</f>
        <v>306437.92499999999</v>
      </c>
      <c r="H10" s="65">
        <v>400001</v>
      </c>
    </row>
    <row r="11" spans="1:8" s="70" customFormat="1" x14ac:dyDescent="0.15">
      <c r="A11" s="67" t="s">
        <v>40</v>
      </c>
      <c r="B11" s="68" t="s">
        <v>41</v>
      </c>
      <c r="C11" s="69">
        <f>EXPLOTACIÓN!C49*(-1)</f>
        <v>707132.02</v>
      </c>
      <c r="D11" s="69">
        <f>EXPLOTACIÓN!D49*(-1)</f>
        <v>793797.33</v>
      </c>
      <c r="E11" s="69">
        <f>EXPLOTACIÓN!E49*(-1)</f>
        <v>750435</v>
      </c>
      <c r="F11" s="69">
        <f>EXPLOTACIÓN!F49*(-1)</f>
        <v>950435</v>
      </c>
      <c r="G11" s="69">
        <f>EXPLOTACIÓN!G49*(-1)</f>
        <v>1150435</v>
      </c>
      <c r="H11" s="70">
        <v>400002</v>
      </c>
    </row>
    <row r="12" spans="1:8" s="67" customFormat="1" x14ac:dyDescent="0.15">
      <c r="A12" s="67" t="s">
        <v>42</v>
      </c>
      <c r="B12" s="68" t="s">
        <v>43</v>
      </c>
      <c r="C12" s="71">
        <v>-117399.93</v>
      </c>
      <c r="D12" s="71">
        <v>0</v>
      </c>
      <c r="E12" s="71">
        <v>0</v>
      </c>
      <c r="F12" s="71">
        <v>0</v>
      </c>
      <c r="G12" s="71">
        <v>0</v>
      </c>
      <c r="H12" s="70">
        <v>400003</v>
      </c>
    </row>
    <row r="13" spans="1:8" s="67" customFormat="1" x14ac:dyDescent="0.15">
      <c r="A13" s="67" t="s">
        <v>44</v>
      </c>
      <c r="B13" s="68" t="s">
        <v>43</v>
      </c>
      <c r="C13" s="71">
        <v>92185.95</v>
      </c>
      <c r="D13" s="71">
        <v>0</v>
      </c>
      <c r="E13" s="71">
        <v>0</v>
      </c>
      <c r="F13" s="71">
        <v>0</v>
      </c>
      <c r="G13" s="71">
        <v>0</v>
      </c>
      <c r="H13" s="70">
        <v>400004</v>
      </c>
    </row>
    <row r="14" spans="1:8" s="67" customFormat="1" x14ac:dyDescent="0.15">
      <c r="A14" s="67" t="s">
        <v>45</v>
      </c>
      <c r="B14" s="68" t="s">
        <v>46</v>
      </c>
      <c r="C14" s="69">
        <f>EXPLOTACIÓN!C51*(-1)+EXPLOTACIÓN!C88*(-1)</f>
        <v>-596025.23</v>
      </c>
      <c r="D14" s="69">
        <f>EXPLOTACIÓN!D51*(-1)+EXPLOTACIÓN!D88*(-1)</f>
        <v>-538216</v>
      </c>
      <c r="E14" s="69">
        <f>EXPLOTACIÓN!E51*(-1)+EXPLOTACIÓN!E88*(-1)</f>
        <v>-538216</v>
      </c>
      <c r="F14" s="69">
        <f>EXPLOTACIÓN!F51*(-1)+EXPLOTACIÓN!F88*(-1)</f>
        <v>-738216</v>
      </c>
      <c r="G14" s="69">
        <f>EXPLOTACIÓN!G51*(-1)+EXPLOTACIÓN!G88*(-1)</f>
        <v>-788216</v>
      </c>
      <c r="H14" s="70">
        <v>400005</v>
      </c>
    </row>
    <row r="15" spans="1:8" s="67" customFormat="1" x14ac:dyDescent="0.15">
      <c r="A15" s="67" t="s">
        <v>47</v>
      </c>
      <c r="B15" s="68" t="s">
        <v>43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0">
        <v>400006</v>
      </c>
    </row>
    <row r="16" spans="1:8" s="67" customFormat="1" x14ac:dyDescent="0.15">
      <c r="A16" s="67" t="s">
        <v>48</v>
      </c>
      <c r="B16" s="68" t="s">
        <v>43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0">
        <v>400007</v>
      </c>
    </row>
    <row r="17" spans="1:8" s="67" customFormat="1" x14ac:dyDescent="0.15">
      <c r="A17" s="67" t="s">
        <v>49</v>
      </c>
      <c r="B17" s="68" t="s">
        <v>46</v>
      </c>
      <c r="C17" s="69">
        <f>EXPLOTACIÓN!C65*(-1)</f>
        <v>-75311.06</v>
      </c>
      <c r="D17" s="69">
        <f>EXPLOTACIÓN!D65*(-1)</f>
        <v>-227596</v>
      </c>
      <c r="E17" s="69">
        <f>EXPLOTACIÓN!E65*(-1)</f>
        <v>-113798</v>
      </c>
      <c r="F17" s="69">
        <f>EXPLOTACIÓN!F65*(-1)</f>
        <v>-85348.5</v>
      </c>
      <c r="G17" s="69">
        <f>EXPLOTACIÓN!G65*(-1)</f>
        <v>-81081.074999999997</v>
      </c>
      <c r="H17" s="70">
        <v>400008</v>
      </c>
    </row>
    <row r="18" spans="1:8" s="67" customFormat="1" x14ac:dyDescent="0.15">
      <c r="A18" s="67" t="s">
        <v>50</v>
      </c>
      <c r="B18" s="68" t="s">
        <v>41</v>
      </c>
      <c r="C18" s="69">
        <f>EXPLOTACIÓN!C73*(-1)</f>
        <v>40226.69</v>
      </c>
      <c r="D18" s="69">
        <f>EXPLOTACIÓN!D73*(-1)</f>
        <v>8206</v>
      </c>
      <c r="E18" s="69">
        <f>EXPLOTACIÓN!E73*(-1)</f>
        <v>0</v>
      </c>
      <c r="F18" s="69">
        <f>EXPLOTACIÓN!F73*(-1)</f>
        <v>0</v>
      </c>
      <c r="G18" s="69">
        <f>EXPLOTACIÓN!G73*(-1)</f>
        <v>0</v>
      </c>
      <c r="H18" s="70">
        <v>400009</v>
      </c>
    </row>
    <row r="19" spans="1:8" s="67" customFormat="1" x14ac:dyDescent="0.15">
      <c r="A19" s="67" t="s">
        <v>51</v>
      </c>
      <c r="B19" s="68" t="s">
        <v>43</v>
      </c>
      <c r="C19" s="69">
        <f>EXPLOTACIÓN!C82*(-1)</f>
        <v>-66143.78</v>
      </c>
      <c r="D19" s="69">
        <f>EXPLOTACIÓN!D82*(-1)</f>
        <v>45654</v>
      </c>
      <c r="E19" s="69">
        <f>EXPLOTACIÓN!E82*(-1)</f>
        <v>-4000</v>
      </c>
      <c r="F19" s="69">
        <f>EXPLOTACIÓN!F82*(-1)</f>
        <v>62500</v>
      </c>
      <c r="G19" s="69">
        <f>EXPLOTACIÓN!G82*(-1)</f>
        <v>25300</v>
      </c>
      <c r="H19" s="70">
        <v>400010</v>
      </c>
    </row>
    <row r="20" spans="1:8" s="67" customFormat="1" x14ac:dyDescent="0.15">
      <c r="A20" s="67" t="s">
        <v>52</v>
      </c>
      <c r="B20" s="68" t="s">
        <v>43</v>
      </c>
      <c r="C20" s="69">
        <f>EXPLOTACIÓN!C78*(-1)</f>
        <v>0</v>
      </c>
      <c r="D20" s="69">
        <f>EXPLOTACIÓN!D78*(-1)</f>
        <v>0</v>
      </c>
      <c r="E20" s="69">
        <f>EXPLOTACIÓN!E78*(-1)</f>
        <v>0</v>
      </c>
      <c r="F20" s="69">
        <f>EXPLOTACIÓN!F78*(-1)</f>
        <v>0</v>
      </c>
      <c r="G20" s="69">
        <f>EXPLOTACIÓN!G78*(-1)</f>
        <v>0</v>
      </c>
      <c r="H20" s="70">
        <v>400011</v>
      </c>
    </row>
    <row r="21" spans="1:8" s="67" customFormat="1" x14ac:dyDescent="0.15">
      <c r="A21" s="67" t="s">
        <v>53</v>
      </c>
      <c r="B21" s="68" t="s">
        <v>43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0">
        <v>400012</v>
      </c>
    </row>
    <row r="22" spans="1:8" s="50" customFormat="1" ht="4.5" customHeight="1" x14ac:dyDescent="0.15">
      <c r="A22" s="45"/>
      <c r="B22" s="46"/>
      <c r="C22" s="51"/>
      <c r="D22" s="51"/>
      <c r="E22" s="51"/>
      <c r="F22" s="51"/>
      <c r="G22" s="51"/>
      <c r="H22" s="45" t="s">
        <v>324</v>
      </c>
    </row>
    <row r="23" spans="1:8" s="65" customFormat="1" x14ac:dyDescent="0.15">
      <c r="A23" s="62" t="s">
        <v>54</v>
      </c>
      <c r="B23" s="63"/>
      <c r="C23" s="64">
        <f>C24+C25+C26+C27+C28+C29</f>
        <v>1083723.4200000002</v>
      </c>
      <c r="D23" s="64">
        <f>D24+D25+D26+D27+D28+D29</f>
        <v>153472.05000000028</v>
      </c>
      <c r="E23" s="64">
        <f>E24+E25+E26+E27+E28+E29</f>
        <v>-1800724</v>
      </c>
      <c r="F23" s="64">
        <f>F24+F25+F26+F27+F28+F29</f>
        <v>-807903.14999999991</v>
      </c>
      <c r="G23" s="64">
        <f>G24+G25+G26+G27+G28+G29</f>
        <v>-188761.31000000052</v>
      </c>
      <c r="H23" s="65">
        <v>400013</v>
      </c>
    </row>
    <row r="24" spans="1:8" s="62" customFormat="1" x14ac:dyDescent="0.15">
      <c r="A24" s="67" t="s">
        <v>55</v>
      </c>
      <c r="B24" s="68" t="s">
        <v>43</v>
      </c>
      <c r="C24" s="71">
        <v>0</v>
      </c>
      <c r="D24" s="69">
        <f>ACTIVO!C54-ACTIVO!D54</f>
        <v>0</v>
      </c>
      <c r="E24" s="69">
        <f>ACTIVO!D54-ACTIVO!E54</f>
        <v>0</v>
      </c>
      <c r="F24" s="69">
        <f>ACTIVO!E54-ACTIVO!F54</f>
        <v>0</v>
      </c>
      <c r="G24" s="69">
        <f>ACTIVO!F54-ACTIVO!G54</f>
        <v>0</v>
      </c>
      <c r="H24" s="65">
        <v>400014</v>
      </c>
    </row>
    <row r="25" spans="1:8" s="70" customFormat="1" x14ac:dyDescent="0.15">
      <c r="A25" s="67" t="s">
        <v>56</v>
      </c>
      <c r="B25" s="68" t="s">
        <v>43</v>
      </c>
      <c r="C25" s="71">
        <v>-260237.64</v>
      </c>
      <c r="D25" s="69">
        <f>ACTIVO!C67+ACTIVO!C62-ACTIVO!D67-ACTIVO!D62</f>
        <v>577954.09999999963</v>
      </c>
      <c r="E25" s="69">
        <f>ACTIVO!D67+ACTIVO!D62-ACTIVO!E67-ACTIVO!E62</f>
        <v>405240</v>
      </c>
      <c r="F25" s="69">
        <f>ACTIVO!E67+ACTIVO!E62-ACTIVO!F67-ACTIVO!F62</f>
        <v>463944.25</v>
      </c>
      <c r="G25" s="69">
        <f>ACTIVO!F67+ACTIVO!F62-ACTIVO!G67-ACTIVO!G62</f>
        <v>-106150.71000000043</v>
      </c>
      <c r="H25" s="70">
        <v>400015</v>
      </c>
    </row>
    <row r="26" spans="1:8" s="67" customFormat="1" x14ac:dyDescent="0.15">
      <c r="A26" s="67" t="s">
        <v>57</v>
      </c>
      <c r="B26" s="68" t="s">
        <v>43</v>
      </c>
      <c r="C26" s="71">
        <v>-13348.42</v>
      </c>
      <c r="D26" s="69">
        <f>(ACTIVO!C76+ACTIVO!C83+ACTIVO!C90)-(ACTIVO!D76+ACTIVO!D83+ACTIVO!D90)</f>
        <v>1440160.21</v>
      </c>
      <c r="E26" s="69">
        <f>(ACTIVO!D76+ACTIVO!D83+ACTIVO!D90)-(ACTIVO!E76+ACTIVO!E83+ACTIVO!E90)</f>
        <v>-498698</v>
      </c>
      <c r="F26" s="69">
        <f>(ACTIVO!E76+ACTIVO!E83+ACTIVO!E90)-(ACTIVO!F76+ACTIVO!F83+ACTIVO!F90)</f>
        <v>-97926</v>
      </c>
      <c r="G26" s="69">
        <f>(ACTIVO!F76+ACTIVO!F83+ACTIVO!F90)-(ACTIVO!G76+ACTIVO!G83+ACTIVO!G90)</f>
        <v>-49308</v>
      </c>
      <c r="H26" s="70">
        <v>400016</v>
      </c>
    </row>
    <row r="27" spans="1:8" s="67" customFormat="1" x14ac:dyDescent="0.15">
      <c r="A27" s="67" t="s">
        <v>58</v>
      </c>
      <c r="B27" s="68" t="s">
        <v>43</v>
      </c>
      <c r="C27" s="71">
        <v>-81530.86</v>
      </c>
      <c r="D27" s="69">
        <f>'PATRIMONIO NETO Y PASIVO'!D76+'PATRIMONIO NETO Y PASIVO'!D74-'PATRIMONIO NETO Y PASIVO'!C76-'PATRIMONIO NETO Y PASIVO'!C74</f>
        <v>219981.09999999998</v>
      </c>
      <c r="E27" s="69">
        <f>'PATRIMONIO NETO Y PASIVO'!E76+'PATRIMONIO NETO Y PASIVO'!E74-'PATRIMONIO NETO Y PASIVO'!D76-'PATRIMONIO NETO Y PASIVO'!D74</f>
        <v>-27126</v>
      </c>
      <c r="F27" s="69">
        <f>'PATRIMONIO NETO Y PASIVO'!F76+'PATRIMONIO NETO Y PASIVO'!F74-'PATRIMONIO NETO Y PASIVO'!E76-'PATRIMONIO NETO Y PASIVO'!E74</f>
        <v>40621.600000000093</v>
      </c>
      <c r="G27" s="69">
        <f>'PATRIMONIO NETO Y PASIVO'!G76+'PATRIMONIO NETO Y PASIVO'!G74-'PATRIMONIO NETO Y PASIVO'!F76-'PATRIMONIO NETO Y PASIVO'!F74</f>
        <v>-39828.600000000093</v>
      </c>
      <c r="H27" s="70">
        <v>400017</v>
      </c>
    </row>
    <row r="28" spans="1:8" s="67" customFormat="1" x14ac:dyDescent="0.15">
      <c r="A28" s="67" t="s">
        <v>59</v>
      </c>
      <c r="B28" s="68" t="s">
        <v>43</v>
      </c>
      <c r="C28" s="71">
        <v>1438840.34</v>
      </c>
      <c r="D28" s="69">
        <f>('PATRIMONIO NETO Y PASIVO'!D61+'PATRIMONIO NETO Y PASIVO'!D65+'PATRIMONIO NETO Y PASIVO'!D72+'PATRIMONIO NETO Y PASIVO'!D85)-('PATRIMONIO NETO Y PASIVO'!C61+'PATRIMONIO NETO Y PASIVO'!C65+'PATRIMONIO NETO Y PASIVO'!C72+'PATRIMONIO NETO Y PASIVO'!C85)</f>
        <v>-2084623.3599999994</v>
      </c>
      <c r="E28" s="69">
        <f>('PATRIMONIO NETO Y PASIVO'!E61+'PATRIMONIO NETO Y PASIVO'!E65+'PATRIMONIO NETO Y PASIVO'!E72+'PATRIMONIO NETO Y PASIVO'!E85)-('PATRIMONIO NETO Y PASIVO'!D61+'PATRIMONIO NETO Y PASIVO'!D65+'PATRIMONIO NETO Y PASIVO'!D72+'PATRIMONIO NETO Y PASIVO'!D85)</f>
        <v>-1680140</v>
      </c>
      <c r="F28" s="69">
        <f>('PATRIMONIO NETO Y PASIVO'!F61+'PATRIMONIO NETO Y PASIVO'!F65+'PATRIMONIO NETO Y PASIVO'!F72+'PATRIMONIO NETO Y PASIVO'!F85)-('PATRIMONIO NETO Y PASIVO'!E61+'PATRIMONIO NETO Y PASIVO'!E65+'PATRIMONIO NETO Y PASIVO'!E72+'PATRIMONIO NETO Y PASIVO'!E85)</f>
        <v>-1214543</v>
      </c>
      <c r="G28" s="69">
        <f>('PATRIMONIO NETO Y PASIVO'!G61+'PATRIMONIO NETO Y PASIVO'!G65+'PATRIMONIO NETO Y PASIVO'!G72+'PATRIMONIO NETO Y PASIVO'!G85)-('PATRIMONIO NETO Y PASIVO'!F61+'PATRIMONIO NETO Y PASIVO'!F65+'PATRIMONIO NETO Y PASIVO'!F72+'PATRIMONIO NETO Y PASIVO'!F85)</f>
        <v>6526</v>
      </c>
      <c r="H28" s="70">
        <v>400018</v>
      </c>
    </row>
    <row r="29" spans="1:8" s="67" customFormat="1" x14ac:dyDescent="0.15">
      <c r="A29" s="67" t="s">
        <v>60</v>
      </c>
      <c r="B29" s="68" t="s">
        <v>43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0">
        <v>400019</v>
      </c>
    </row>
    <row r="30" spans="1:8" s="50" customFormat="1" ht="5.25" customHeight="1" x14ac:dyDescent="0.15">
      <c r="A30" s="45"/>
      <c r="B30" s="46"/>
      <c r="C30" s="51"/>
      <c r="D30" s="51"/>
      <c r="E30" s="51"/>
      <c r="F30" s="51"/>
      <c r="G30" s="51"/>
      <c r="H30" s="45" t="s">
        <v>324</v>
      </c>
    </row>
    <row r="31" spans="1:8" s="67" customFormat="1" x14ac:dyDescent="0.15">
      <c r="A31" s="62" t="s">
        <v>61</v>
      </c>
      <c r="B31" s="63"/>
      <c r="C31" s="64">
        <f>C32+C33+C34+C35+C36</f>
        <v>35084.369999999995</v>
      </c>
      <c r="D31" s="64">
        <f>D32+D33+D34+D35+D36</f>
        <v>0</v>
      </c>
      <c r="E31" s="64">
        <f>E32+E33+E34+E35+E36</f>
        <v>0</v>
      </c>
      <c r="F31" s="64">
        <f>F32+F33+F34+F35+F36</f>
        <v>0</v>
      </c>
      <c r="G31" s="64">
        <f>G32+G33+G34+G35+G36</f>
        <v>0</v>
      </c>
      <c r="H31" s="70">
        <v>400020</v>
      </c>
    </row>
    <row r="32" spans="1:8" s="70" customFormat="1" x14ac:dyDescent="0.15">
      <c r="A32" s="67" t="s">
        <v>62</v>
      </c>
      <c r="B32" s="68" t="s">
        <v>46</v>
      </c>
      <c r="C32" s="71">
        <v>-40226.69</v>
      </c>
      <c r="D32" s="71">
        <v>0</v>
      </c>
      <c r="E32" s="71">
        <v>0</v>
      </c>
      <c r="F32" s="71">
        <v>0</v>
      </c>
      <c r="G32" s="71">
        <v>0</v>
      </c>
      <c r="H32" s="70">
        <v>400021</v>
      </c>
    </row>
    <row r="33" spans="1:8" s="62" customFormat="1" x14ac:dyDescent="0.15">
      <c r="A33" s="67" t="s">
        <v>63</v>
      </c>
      <c r="B33" s="68" t="s">
        <v>41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65">
        <v>400022</v>
      </c>
    </row>
    <row r="34" spans="1:8" s="70" customFormat="1" x14ac:dyDescent="0.15">
      <c r="A34" s="67" t="s">
        <v>64</v>
      </c>
      <c r="B34" s="68" t="s">
        <v>41</v>
      </c>
      <c r="C34" s="71">
        <v>75311.06</v>
      </c>
      <c r="D34" s="71">
        <v>0</v>
      </c>
      <c r="E34" s="71">
        <v>0</v>
      </c>
      <c r="F34" s="71">
        <v>0</v>
      </c>
      <c r="G34" s="71">
        <v>0</v>
      </c>
      <c r="H34" s="70">
        <v>400023</v>
      </c>
    </row>
    <row r="35" spans="1:8" s="67" customFormat="1" x14ac:dyDescent="0.15">
      <c r="A35" s="67" t="s">
        <v>65</v>
      </c>
      <c r="B35" s="68" t="s">
        <v>66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0">
        <v>400024</v>
      </c>
    </row>
    <row r="36" spans="1:8" s="67" customFormat="1" x14ac:dyDescent="0.15">
      <c r="A36" s="67" t="s">
        <v>67</v>
      </c>
      <c r="B36" s="68" t="s">
        <v>66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0">
        <v>400025</v>
      </c>
    </row>
    <row r="37" spans="1:8" s="67" customFormat="1" ht="5.25" customHeight="1" thickBot="1" x14ac:dyDescent="0.2">
      <c r="A37" s="70"/>
      <c r="B37" s="68"/>
      <c r="C37" s="72"/>
      <c r="D37" s="72"/>
      <c r="E37" s="72"/>
      <c r="F37" s="72"/>
      <c r="G37" s="72"/>
      <c r="H37" s="70" t="s">
        <v>324</v>
      </c>
    </row>
    <row r="38" spans="1:8" s="67" customFormat="1" ht="14" thickBot="1" x14ac:dyDescent="0.2">
      <c r="A38" s="73" t="s">
        <v>68</v>
      </c>
      <c r="B38" s="74"/>
      <c r="C38" s="75">
        <f>C8+C10+C23+C31</f>
        <v>1665364.2199999993</v>
      </c>
      <c r="D38" s="75">
        <f>D8+D10+D23+D31</f>
        <v>459608.65400000056</v>
      </c>
      <c r="E38" s="76">
        <f>E8+E10+E23+E31</f>
        <v>-1511762.9728159986</v>
      </c>
      <c r="F38" s="76">
        <f>F8+F10+F23+F31</f>
        <v>-498846.78391639539</v>
      </c>
      <c r="G38" s="76">
        <f>G8+G10+G23+G31</f>
        <v>140632.20266834158</v>
      </c>
      <c r="H38" s="70">
        <v>400026</v>
      </c>
    </row>
    <row r="39" spans="1:8" s="50" customFormat="1" x14ac:dyDescent="0.15">
      <c r="A39" s="45"/>
      <c r="B39" s="46"/>
      <c r="C39" s="51"/>
      <c r="D39" s="51"/>
      <c r="E39" s="51"/>
      <c r="F39" s="51"/>
      <c r="G39" s="51"/>
      <c r="H39" s="45" t="s">
        <v>324</v>
      </c>
    </row>
    <row r="40" spans="1:8" s="62" customFormat="1" ht="16" x14ac:dyDescent="0.2">
      <c r="A40" s="77" t="s">
        <v>69</v>
      </c>
      <c r="B40" s="63"/>
      <c r="C40" s="78"/>
      <c r="D40" s="78"/>
      <c r="E40" s="78"/>
      <c r="F40" s="78"/>
      <c r="G40" s="78"/>
      <c r="H40" s="65" t="s">
        <v>324</v>
      </c>
    </row>
    <row r="41" spans="1:8" s="65" customFormat="1" x14ac:dyDescent="0.15">
      <c r="A41" s="62"/>
      <c r="B41" s="63"/>
      <c r="C41" s="66"/>
      <c r="D41" s="66"/>
      <c r="E41" s="66"/>
      <c r="F41" s="66"/>
      <c r="G41" s="66"/>
      <c r="H41" s="65" t="s">
        <v>324</v>
      </c>
    </row>
    <row r="42" spans="1:8" s="65" customFormat="1" x14ac:dyDescent="0.15">
      <c r="A42" s="62" t="s">
        <v>70</v>
      </c>
      <c r="B42" s="63" t="s">
        <v>46</v>
      </c>
      <c r="C42" s="64">
        <f>C43+C44+C45+C46+C47+C48+C49+C50</f>
        <v>-1599396.13</v>
      </c>
      <c r="D42" s="64">
        <f>D43+D44+D45+D46+D47+D48+D49+D50</f>
        <v>-187020</v>
      </c>
      <c r="E42" s="64">
        <f>E43+E44+E45+E46+E47+E48+E49+E50</f>
        <v>-3560000</v>
      </c>
      <c r="F42" s="64">
        <f>F43+F44+F45+F46+F47+F48+F49+F50</f>
        <v>-385449</v>
      </c>
      <c r="G42" s="64">
        <f>G43+G44+G45+G46+G47+G48+G49+G50</f>
        <v>-30000</v>
      </c>
      <c r="H42" s="65">
        <v>400027</v>
      </c>
    </row>
    <row r="43" spans="1:8" s="77" customFormat="1" ht="12.75" customHeight="1" x14ac:dyDescent="0.2">
      <c r="A43" s="67" t="s">
        <v>215</v>
      </c>
      <c r="B43" s="63"/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9">
        <v>400028</v>
      </c>
    </row>
    <row r="44" spans="1:8" s="62" customFormat="1" x14ac:dyDescent="0.15">
      <c r="A44" s="67" t="s">
        <v>71</v>
      </c>
      <c r="B44" s="63"/>
      <c r="C44" s="71">
        <v>-28629.75</v>
      </c>
      <c r="D44" s="71">
        <v>-39232</v>
      </c>
      <c r="E44" s="71">
        <v>-60000</v>
      </c>
      <c r="F44" s="71">
        <v>-20000</v>
      </c>
      <c r="G44" s="71">
        <v>-10000</v>
      </c>
      <c r="H44" s="65">
        <v>400029</v>
      </c>
    </row>
    <row r="45" spans="1:8" s="62" customFormat="1" x14ac:dyDescent="0.15">
      <c r="A45" s="67" t="s">
        <v>72</v>
      </c>
      <c r="B45" s="63"/>
      <c r="C45" s="71">
        <v>-389948.92</v>
      </c>
      <c r="D45" s="71">
        <v>-147788</v>
      </c>
      <c r="E45" s="71">
        <f>-2500000-1000000</f>
        <v>-3500000</v>
      </c>
      <c r="F45" s="71">
        <f>-20000-345449</f>
        <v>-365449</v>
      </c>
      <c r="G45" s="71">
        <v>-20000</v>
      </c>
      <c r="H45" s="65">
        <v>400030</v>
      </c>
    </row>
    <row r="46" spans="1:8" s="70" customFormat="1" x14ac:dyDescent="0.15">
      <c r="A46" s="67" t="s">
        <v>219</v>
      </c>
      <c r="B46" s="68"/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0">
        <v>400031</v>
      </c>
    </row>
    <row r="47" spans="1:8" s="67" customFormat="1" x14ac:dyDescent="0.15">
      <c r="A47" s="67" t="s">
        <v>218</v>
      </c>
      <c r="B47" s="68"/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0">
        <v>400032</v>
      </c>
    </row>
    <row r="48" spans="1:8" s="67" customFormat="1" x14ac:dyDescent="0.15">
      <c r="A48" s="67" t="s">
        <v>217</v>
      </c>
      <c r="B48" s="68"/>
      <c r="C48" s="71">
        <v>0</v>
      </c>
      <c r="D48" s="71">
        <v>0</v>
      </c>
      <c r="E48" s="71">
        <v>0</v>
      </c>
      <c r="F48" s="71">
        <v>0</v>
      </c>
      <c r="G48" s="71">
        <v>0</v>
      </c>
      <c r="H48" s="70">
        <v>400033</v>
      </c>
    </row>
    <row r="49" spans="1:8" s="67" customFormat="1" x14ac:dyDescent="0.15">
      <c r="A49" s="67" t="s">
        <v>317</v>
      </c>
      <c r="B49" s="68"/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0">
        <v>400034</v>
      </c>
    </row>
    <row r="50" spans="1:8" s="67" customFormat="1" x14ac:dyDescent="0.15">
      <c r="A50" s="67" t="s">
        <v>216</v>
      </c>
      <c r="B50" s="68"/>
      <c r="C50" s="71">
        <v>-1180817.46</v>
      </c>
      <c r="D50" s="71">
        <v>0</v>
      </c>
      <c r="E50" s="71">
        <v>0</v>
      </c>
      <c r="F50" s="71">
        <v>0</v>
      </c>
      <c r="G50" s="71">
        <v>0</v>
      </c>
      <c r="H50" s="70">
        <v>400035</v>
      </c>
    </row>
    <row r="51" spans="1:8" s="67" customFormat="1" ht="6" customHeight="1" x14ac:dyDescent="0.15">
      <c r="A51" s="70"/>
      <c r="B51" s="68"/>
      <c r="C51" s="72"/>
      <c r="D51" s="72"/>
      <c r="E51" s="72"/>
      <c r="F51" s="72"/>
      <c r="G51" s="72"/>
      <c r="H51" s="70" t="s">
        <v>324</v>
      </c>
    </row>
    <row r="52" spans="1:8" s="67" customFormat="1" x14ac:dyDescent="0.15">
      <c r="A52" s="62" t="s">
        <v>73</v>
      </c>
      <c r="B52" s="63" t="s">
        <v>41</v>
      </c>
      <c r="C52" s="64">
        <f>C53+C54+C55+C56+C57+C58+C59+C60</f>
        <v>0</v>
      </c>
      <c r="D52" s="64">
        <f>D53+D54+D55+D56+D57+D58+D59+D60</f>
        <v>0</v>
      </c>
      <c r="E52" s="64">
        <f>E53+E54+E55+E56+E57+E58+E59+E60</f>
        <v>0</v>
      </c>
      <c r="F52" s="64">
        <f>F53+F54+F55+F56+F57+F58+F59+F60</f>
        <v>0</v>
      </c>
      <c r="G52" s="64">
        <f>G53+G54+G55+G56+G57+G58+G59+G60</f>
        <v>0</v>
      </c>
      <c r="H52" s="70">
        <v>400036</v>
      </c>
    </row>
    <row r="53" spans="1:8" s="67" customFormat="1" x14ac:dyDescent="0.15">
      <c r="A53" s="67" t="s">
        <v>215</v>
      </c>
      <c r="B53" s="68"/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0">
        <v>400037</v>
      </c>
    </row>
    <row r="54" spans="1:8" s="67" customFormat="1" x14ac:dyDescent="0.15">
      <c r="A54" s="67" t="s">
        <v>71</v>
      </c>
      <c r="B54" s="68"/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0">
        <v>400038</v>
      </c>
    </row>
    <row r="55" spans="1:8" s="70" customFormat="1" x14ac:dyDescent="0.15">
      <c r="A55" s="67" t="s">
        <v>72</v>
      </c>
      <c r="B55" s="68"/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0">
        <v>400039</v>
      </c>
    </row>
    <row r="56" spans="1:8" s="62" customFormat="1" x14ac:dyDescent="0.15">
      <c r="A56" s="67" t="s">
        <v>219</v>
      </c>
      <c r="B56" s="63"/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65">
        <v>400040</v>
      </c>
    </row>
    <row r="57" spans="1:8" s="70" customFormat="1" x14ac:dyDescent="0.15">
      <c r="A57" s="67" t="s">
        <v>218</v>
      </c>
      <c r="B57" s="68"/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0">
        <v>400041</v>
      </c>
    </row>
    <row r="58" spans="1:8" s="67" customFormat="1" x14ac:dyDescent="0.15">
      <c r="A58" s="67" t="s">
        <v>217</v>
      </c>
      <c r="B58" s="68"/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0">
        <v>400042</v>
      </c>
    </row>
    <row r="59" spans="1:8" s="67" customFormat="1" x14ac:dyDescent="0.15">
      <c r="A59" s="67" t="s">
        <v>317</v>
      </c>
      <c r="B59" s="68"/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0">
        <v>400043</v>
      </c>
    </row>
    <row r="60" spans="1:8" s="67" customFormat="1" x14ac:dyDescent="0.15">
      <c r="A60" s="67" t="s">
        <v>216</v>
      </c>
      <c r="B60" s="68"/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0">
        <v>400044</v>
      </c>
    </row>
    <row r="61" spans="1:8" s="50" customFormat="1" ht="3.75" customHeight="1" thickBot="1" x14ac:dyDescent="0.2">
      <c r="A61" s="45"/>
      <c r="B61" s="46"/>
      <c r="C61" s="51"/>
      <c r="D61" s="51"/>
      <c r="E61" s="51"/>
      <c r="F61" s="51"/>
      <c r="G61" s="51"/>
      <c r="H61" s="45" t="s">
        <v>324</v>
      </c>
    </row>
    <row r="62" spans="1:8" s="67" customFormat="1" ht="14" thickBot="1" x14ac:dyDescent="0.2">
      <c r="A62" s="73" t="s">
        <v>172</v>
      </c>
      <c r="B62" s="74"/>
      <c r="C62" s="75">
        <f>C42+C52</f>
        <v>-1599396.13</v>
      </c>
      <c r="D62" s="75">
        <f>D42+D52</f>
        <v>-187020</v>
      </c>
      <c r="E62" s="75">
        <f>E42+E52</f>
        <v>-3560000</v>
      </c>
      <c r="F62" s="75">
        <f>F42+F52</f>
        <v>-385449</v>
      </c>
      <c r="G62" s="75">
        <f>G42+G52</f>
        <v>-30000</v>
      </c>
      <c r="H62" s="70">
        <v>400045</v>
      </c>
    </row>
    <row r="63" spans="1:8" s="50" customFormat="1" x14ac:dyDescent="0.15">
      <c r="A63" s="45"/>
      <c r="B63" s="46"/>
      <c r="C63" s="51"/>
      <c r="D63" s="51"/>
      <c r="E63" s="51"/>
      <c r="F63" s="51"/>
      <c r="G63" s="51"/>
      <c r="H63" s="45" t="s">
        <v>324</v>
      </c>
    </row>
    <row r="64" spans="1:8" s="67" customFormat="1" ht="16" x14ac:dyDescent="0.2">
      <c r="A64" s="77" t="s">
        <v>74</v>
      </c>
      <c r="B64" s="63"/>
      <c r="C64" s="78"/>
      <c r="D64" s="78"/>
      <c r="E64" s="78"/>
      <c r="F64" s="78"/>
      <c r="G64" s="78"/>
      <c r="H64" s="70" t="s">
        <v>324</v>
      </c>
    </row>
    <row r="65" spans="1:8" s="65" customFormat="1" x14ac:dyDescent="0.15">
      <c r="A65" s="62"/>
      <c r="B65" s="63"/>
      <c r="C65" s="66"/>
      <c r="D65" s="66"/>
      <c r="E65" s="66"/>
      <c r="F65" s="66"/>
      <c r="G65" s="66"/>
      <c r="H65" s="65" t="s">
        <v>324</v>
      </c>
    </row>
    <row r="66" spans="1:8" s="62" customFormat="1" x14ac:dyDescent="0.15">
      <c r="A66" s="62" t="s">
        <v>220</v>
      </c>
      <c r="B66" s="63"/>
      <c r="C66" s="64">
        <f>C67+C68+C69</f>
        <v>572807.09</v>
      </c>
      <c r="D66" s="64">
        <f>D67+D68+D69</f>
        <v>640089.11</v>
      </c>
      <c r="E66" s="64">
        <f>E67+E68+E69</f>
        <v>3572806.91</v>
      </c>
      <c r="F66" s="64">
        <f>F67+F68+F69</f>
        <v>0</v>
      </c>
      <c r="G66" s="64">
        <f>G67+G68+G69</f>
        <v>0</v>
      </c>
      <c r="H66" s="65">
        <v>400046</v>
      </c>
    </row>
    <row r="67" spans="1:8" s="70" customFormat="1" x14ac:dyDescent="0.15">
      <c r="A67" s="67" t="s">
        <v>228</v>
      </c>
      <c r="B67" s="68" t="s">
        <v>41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0">
        <v>400047</v>
      </c>
    </row>
    <row r="68" spans="1:8" s="70" customFormat="1" x14ac:dyDescent="0.15">
      <c r="A68" s="67" t="s">
        <v>229</v>
      </c>
      <c r="B68" s="68" t="s">
        <v>46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70">
        <v>400048</v>
      </c>
    </row>
    <row r="69" spans="1:8" s="62" customFormat="1" x14ac:dyDescent="0.15">
      <c r="A69" s="67" t="s">
        <v>230</v>
      </c>
      <c r="B69" s="68" t="s">
        <v>41</v>
      </c>
      <c r="C69" s="81">
        <f>C70+C71+C72+C73+C74+C75</f>
        <v>572807.09</v>
      </c>
      <c r="D69" s="81">
        <f>D70+D71+D72+D73+D74+D75</f>
        <v>640089.11</v>
      </c>
      <c r="E69" s="81">
        <f>E70+E71+E72+E73+E74+E75</f>
        <v>3572806.91</v>
      </c>
      <c r="F69" s="81">
        <f>F70+F71+F72+F73+F74+F75</f>
        <v>0</v>
      </c>
      <c r="G69" s="81">
        <f>G70+G71+G72+G73+G74+G75</f>
        <v>0</v>
      </c>
      <c r="H69" s="65">
        <v>400049</v>
      </c>
    </row>
    <row r="70" spans="1:8" x14ac:dyDescent="0.15">
      <c r="A70" s="90" t="s">
        <v>6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45">
        <v>400050</v>
      </c>
    </row>
    <row r="71" spans="1:8" s="50" customFormat="1" x14ac:dyDescent="0.15">
      <c r="A71" s="90" t="s">
        <v>7</v>
      </c>
      <c r="B71" s="46"/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45">
        <v>400051</v>
      </c>
    </row>
    <row r="72" spans="1:8" s="50" customFormat="1" x14ac:dyDescent="0.15">
      <c r="A72" s="90" t="s">
        <v>8</v>
      </c>
      <c r="B72" s="46"/>
      <c r="C72" s="89">
        <v>572807.09</v>
      </c>
      <c r="D72" s="89">
        <v>640089.11</v>
      </c>
      <c r="E72" s="89">
        <v>332711.90999999997</v>
      </c>
      <c r="F72" s="89">
        <v>0</v>
      </c>
      <c r="G72" s="89">
        <v>0</v>
      </c>
      <c r="H72" s="45">
        <v>400052</v>
      </c>
    </row>
    <row r="73" spans="1:8" s="50" customFormat="1" x14ac:dyDescent="0.15">
      <c r="A73" s="90" t="s">
        <v>9</v>
      </c>
      <c r="B73" s="46"/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45">
        <v>400053</v>
      </c>
    </row>
    <row r="74" spans="1:8" s="50" customFormat="1" x14ac:dyDescent="0.15">
      <c r="A74" s="90" t="s">
        <v>10</v>
      </c>
      <c r="B74" s="46"/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45">
        <v>400054</v>
      </c>
    </row>
    <row r="75" spans="1:8" s="50" customFormat="1" x14ac:dyDescent="0.15">
      <c r="A75" s="90" t="s">
        <v>11</v>
      </c>
      <c r="B75" s="46"/>
      <c r="C75" s="89">
        <v>0</v>
      </c>
      <c r="D75" s="89">
        <v>0</v>
      </c>
      <c r="E75" s="89">
        <f>3000000+240095</f>
        <v>3240095</v>
      </c>
      <c r="F75" s="89">
        <v>0</v>
      </c>
      <c r="G75" s="89">
        <v>0</v>
      </c>
      <c r="H75" s="45">
        <v>400055</v>
      </c>
    </row>
    <row r="76" spans="1:8" s="53" customFormat="1" ht="4.5" customHeight="1" x14ac:dyDescent="0.15">
      <c r="A76" s="50"/>
      <c r="B76" s="46"/>
      <c r="C76" s="52"/>
      <c r="D76" s="52"/>
      <c r="E76" s="52"/>
      <c r="F76" s="52"/>
      <c r="G76" s="52"/>
      <c r="H76" s="45" t="s">
        <v>324</v>
      </c>
    </row>
    <row r="77" spans="1:8" s="80" customFormat="1" x14ac:dyDescent="0.15">
      <c r="A77" s="62" t="s">
        <v>75</v>
      </c>
      <c r="B77" s="63"/>
      <c r="C77" s="64">
        <f>C78+C86</f>
        <v>-2205044.2399999998</v>
      </c>
      <c r="D77" s="64">
        <f>D78+D86</f>
        <v>-67282</v>
      </c>
      <c r="E77" s="64">
        <f>E78+E86</f>
        <v>0</v>
      </c>
      <c r="F77" s="64">
        <f>F78+F86</f>
        <v>25019</v>
      </c>
      <c r="G77" s="64">
        <f>G78+G86</f>
        <v>0</v>
      </c>
      <c r="H77" s="65">
        <v>400056</v>
      </c>
    </row>
    <row r="78" spans="1:8" s="80" customFormat="1" x14ac:dyDescent="0.15">
      <c r="A78" s="67" t="s">
        <v>76</v>
      </c>
      <c r="B78" s="68"/>
      <c r="C78" s="81">
        <f>C79+C80+C81+C82+C84</f>
        <v>14633.72</v>
      </c>
      <c r="D78" s="81">
        <f>D79+D80+D81+D82+D84</f>
        <v>0</v>
      </c>
      <c r="E78" s="81">
        <f>E79+E80+E81+E82+E84</f>
        <v>0</v>
      </c>
      <c r="F78" s="81">
        <f>F79+F80+F81+F82+F84</f>
        <v>25019</v>
      </c>
      <c r="G78" s="81">
        <f>G79+G80+G81+G82+G84</f>
        <v>0</v>
      </c>
      <c r="H78" s="65">
        <v>400057</v>
      </c>
    </row>
    <row r="79" spans="1:8" s="80" customFormat="1" x14ac:dyDescent="0.15">
      <c r="A79" s="67" t="s">
        <v>221</v>
      </c>
      <c r="B79" s="68" t="s">
        <v>41</v>
      </c>
      <c r="C79" s="71">
        <v>0</v>
      </c>
      <c r="D79" s="71">
        <v>0</v>
      </c>
      <c r="E79" s="71">
        <v>0</v>
      </c>
      <c r="F79" s="71">
        <v>0</v>
      </c>
      <c r="G79" s="71">
        <v>0</v>
      </c>
      <c r="H79" s="65">
        <v>400058</v>
      </c>
    </row>
    <row r="80" spans="1:8" s="80" customFormat="1" x14ac:dyDescent="0.15">
      <c r="A80" s="67" t="s">
        <v>77</v>
      </c>
      <c r="B80" s="68" t="s">
        <v>41</v>
      </c>
      <c r="C80" s="71">
        <v>14633.72</v>
      </c>
      <c r="D80" s="71">
        <v>0</v>
      </c>
      <c r="E80" s="71">
        <v>0</v>
      </c>
      <c r="F80" s="71">
        <v>0</v>
      </c>
      <c r="G80" s="71">
        <v>0</v>
      </c>
      <c r="H80" s="65">
        <v>400059</v>
      </c>
    </row>
    <row r="81" spans="1:8" s="67" customFormat="1" x14ac:dyDescent="0.15">
      <c r="A81" s="67" t="s">
        <v>222</v>
      </c>
      <c r="B81" s="68" t="s">
        <v>41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70">
        <v>400060</v>
      </c>
    </row>
    <row r="82" spans="1:8" s="70" customFormat="1" x14ac:dyDescent="0.15">
      <c r="A82" s="67" t="s">
        <v>314</v>
      </c>
      <c r="B82" s="68" t="s">
        <v>41</v>
      </c>
      <c r="C82" s="71">
        <v>0</v>
      </c>
      <c r="D82" s="71">
        <v>0</v>
      </c>
      <c r="E82" s="71">
        <v>0</v>
      </c>
      <c r="F82" s="71">
        <v>0</v>
      </c>
      <c r="G82" s="71">
        <v>0</v>
      </c>
      <c r="H82" s="70">
        <v>400061</v>
      </c>
    </row>
    <row r="83" spans="1:8" s="70" customFormat="1" x14ac:dyDescent="0.15">
      <c r="A83" s="67" t="s">
        <v>227</v>
      </c>
      <c r="B83" s="68" t="s">
        <v>41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70">
        <v>400062</v>
      </c>
    </row>
    <row r="84" spans="1:8" s="62" customFormat="1" x14ac:dyDescent="0.15">
      <c r="A84" s="67" t="s">
        <v>226</v>
      </c>
      <c r="B84" s="68" t="s">
        <v>41</v>
      </c>
      <c r="C84" s="71">
        <v>0</v>
      </c>
      <c r="D84" s="71">
        <v>0</v>
      </c>
      <c r="E84" s="71">
        <v>0</v>
      </c>
      <c r="F84" s="71">
        <v>25019</v>
      </c>
      <c r="G84" s="71">
        <v>0</v>
      </c>
      <c r="H84" s="65">
        <v>400063</v>
      </c>
    </row>
    <row r="85" spans="1:8" ht="4.5" customHeight="1" x14ac:dyDescent="0.15">
      <c r="A85" s="50"/>
      <c r="B85" s="68"/>
      <c r="C85" s="85"/>
      <c r="D85" s="85"/>
      <c r="E85" s="85"/>
      <c r="F85" s="85"/>
      <c r="G85" s="85"/>
      <c r="H85" s="45" t="s">
        <v>324</v>
      </c>
    </row>
    <row r="86" spans="1:8" s="67" customFormat="1" x14ac:dyDescent="0.15">
      <c r="A86" s="67" t="s">
        <v>78</v>
      </c>
      <c r="B86" s="68"/>
      <c r="C86" s="81">
        <f>C87+C88+C89+C90</f>
        <v>-2219677.96</v>
      </c>
      <c r="D86" s="81">
        <f>D87+D88+D89+D90</f>
        <v>-67282</v>
      </c>
      <c r="E86" s="81">
        <f>E87+E88+E89+E90</f>
        <v>0</v>
      </c>
      <c r="F86" s="81">
        <f>F87+F88+F89+F90</f>
        <v>0</v>
      </c>
      <c r="G86" s="81">
        <f>G87+G88+G89+G90</f>
        <v>0</v>
      </c>
      <c r="H86" s="70">
        <v>400064</v>
      </c>
    </row>
    <row r="87" spans="1:8" s="50" customFormat="1" x14ac:dyDescent="0.15">
      <c r="A87" s="67" t="s">
        <v>221</v>
      </c>
      <c r="B87" s="68" t="s">
        <v>46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  <c r="H87" s="45">
        <v>400065</v>
      </c>
    </row>
    <row r="88" spans="1:8" s="50" customFormat="1" x14ac:dyDescent="0.15">
      <c r="A88" s="67" t="s">
        <v>77</v>
      </c>
      <c r="B88" s="68" t="s">
        <v>46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45">
        <v>400066</v>
      </c>
    </row>
    <row r="89" spans="1:8" s="50" customFormat="1" x14ac:dyDescent="0.15">
      <c r="A89" s="67" t="s">
        <v>222</v>
      </c>
      <c r="B89" s="68" t="s">
        <v>46</v>
      </c>
      <c r="C89" s="71">
        <v>0</v>
      </c>
      <c r="D89" s="71">
        <v>0</v>
      </c>
      <c r="E89" s="71">
        <v>0</v>
      </c>
      <c r="F89" s="71">
        <v>0</v>
      </c>
      <c r="G89" s="71">
        <v>0</v>
      </c>
      <c r="H89" s="45">
        <v>400067</v>
      </c>
    </row>
    <row r="90" spans="1:8" s="82" customFormat="1" x14ac:dyDescent="0.15">
      <c r="A90" s="82" t="s">
        <v>223</v>
      </c>
      <c r="B90" s="68" t="s">
        <v>46</v>
      </c>
      <c r="C90" s="71">
        <f>-468833.35-1750844.61</f>
        <v>-2219677.96</v>
      </c>
      <c r="D90" s="71">
        <v>-67282</v>
      </c>
      <c r="E90" s="71">
        <v>0</v>
      </c>
      <c r="F90" s="71">
        <v>0</v>
      </c>
      <c r="G90" s="71">
        <v>0</v>
      </c>
      <c r="H90" s="1">
        <v>400068</v>
      </c>
    </row>
    <row r="91" spans="1:8" s="50" customFormat="1" ht="4.5" customHeight="1" thickBot="1" x14ac:dyDescent="0.2">
      <c r="A91" s="45"/>
      <c r="B91" s="46"/>
      <c r="C91" s="51"/>
      <c r="D91" s="51"/>
      <c r="E91" s="51"/>
      <c r="F91" s="51"/>
      <c r="G91" s="51"/>
      <c r="H91" s="45" t="s">
        <v>324</v>
      </c>
    </row>
    <row r="92" spans="1:8" s="67" customFormat="1" ht="14" thickBot="1" x14ac:dyDescent="0.2">
      <c r="A92" s="73" t="s">
        <v>224</v>
      </c>
      <c r="B92" s="74"/>
      <c r="C92" s="75">
        <f>C66+C77</f>
        <v>-1632237.15</v>
      </c>
      <c r="D92" s="75">
        <f>D66+D77</f>
        <v>572807.11</v>
      </c>
      <c r="E92" s="76">
        <f>E66+E77</f>
        <v>3572806.91</v>
      </c>
      <c r="F92" s="76">
        <f>F66+F77</f>
        <v>25019</v>
      </c>
      <c r="G92" s="76">
        <f>G66+G77</f>
        <v>0</v>
      </c>
      <c r="H92" s="70">
        <v>400069</v>
      </c>
    </row>
    <row r="93" spans="1:8" s="50" customFormat="1" x14ac:dyDescent="0.15">
      <c r="A93" s="45"/>
      <c r="B93" s="46"/>
      <c r="C93" s="51"/>
      <c r="D93" s="51"/>
      <c r="E93" s="51"/>
      <c r="F93" s="51"/>
      <c r="G93" s="51"/>
      <c r="H93" s="45" t="s">
        <v>324</v>
      </c>
    </row>
    <row r="94" spans="1:8" s="67" customFormat="1" ht="16" x14ac:dyDescent="0.2">
      <c r="A94" s="77" t="s">
        <v>79</v>
      </c>
      <c r="B94" s="63" t="s">
        <v>43</v>
      </c>
      <c r="C94" s="84">
        <v>0</v>
      </c>
      <c r="D94" s="84">
        <v>54206</v>
      </c>
      <c r="E94" s="84">
        <v>-1044</v>
      </c>
      <c r="F94" s="84">
        <v>0</v>
      </c>
      <c r="G94" s="84">
        <v>34312</v>
      </c>
      <c r="H94" s="70">
        <v>400070</v>
      </c>
    </row>
    <row r="95" spans="1:8" s="50" customFormat="1" ht="16" x14ac:dyDescent="0.2">
      <c r="A95" s="43"/>
      <c r="B95" s="44"/>
      <c r="C95" s="49"/>
      <c r="D95" s="49"/>
      <c r="E95" s="49"/>
      <c r="F95" s="49"/>
      <c r="G95" s="49"/>
      <c r="H95" s="45" t="s">
        <v>324</v>
      </c>
    </row>
    <row r="96" spans="1:8" s="62" customFormat="1" ht="16.25" customHeight="1" x14ac:dyDescent="0.2">
      <c r="A96" s="172" t="s">
        <v>225</v>
      </c>
      <c r="B96" s="63"/>
      <c r="C96" s="156">
        <f>C38+C62+C92+C94</f>
        <v>-1566269.0600000005</v>
      </c>
      <c r="D96" s="156">
        <f>D38+D62+D92+D94</f>
        <v>899601.76400000055</v>
      </c>
      <c r="E96" s="156">
        <f>E38+E62+E92+E94</f>
        <v>-1500000.0628159987</v>
      </c>
      <c r="F96" s="156">
        <f>F38+F62+F92+F94</f>
        <v>-859276.78391639539</v>
      </c>
      <c r="G96" s="156">
        <f>G38+G62+G92+G94</f>
        <v>144944.20266834158</v>
      </c>
      <c r="H96" s="65">
        <v>400071</v>
      </c>
    </row>
    <row r="97" spans="1:8" s="70" customFormat="1" x14ac:dyDescent="0.15">
      <c r="A97" s="65"/>
      <c r="B97" s="68"/>
      <c r="C97" s="72"/>
      <c r="D97" s="72"/>
      <c r="E97" s="72"/>
      <c r="F97" s="72"/>
      <c r="G97" s="72"/>
      <c r="H97" s="70" t="s">
        <v>324</v>
      </c>
    </row>
    <row r="98" spans="1:8" s="67" customFormat="1" x14ac:dyDescent="0.15">
      <c r="A98" s="70" t="s">
        <v>80</v>
      </c>
      <c r="B98" s="68"/>
      <c r="C98" s="86">
        <v>7857428.0300000003</v>
      </c>
      <c r="D98" s="87">
        <f>C100</f>
        <v>6291159</v>
      </c>
      <c r="E98" s="87">
        <f>D100</f>
        <v>7190761</v>
      </c>
      <c r="F98" s="87">
        <f>E100</f>
        <v>5690760.9000000004</v>
      </c>
      <c r="G98" s="87">
        <f>F100</f>
        <v>4831483.7270000009</v>
      </c>
      <c r="H98" s="70">
        <v>400072</v>
      </c>
    </row>
    <row r="99" spans="1:8" s="67" customFormat="1" ht="3.75" customHeight="1" x14ac:dyDescent="0.15">
      <c r="A99" s="70"/>
      <c r="B99" s="68"/>
      <c r="C99" s="72"/>
      <c r="D99" s="72"/>
      <c r="E99" s="72"/>
      <c r="F99" s="72"/>
      <c r="G99" s="72"/>
      <c r="H99" s="70" t="s">
        <v>324</v>
      </c>
    </row>
    <row r="100" spans="1:8" s="70" customFormat="1" x14ac:dyDescent="0.15">
      <c r="A100" s="70" t="s">
        <v>81</v>
      </c>
      <c r="B100" s="68"/>
      <c r="C100" s="88">
        <f>ACTIVO!C92</f>
        <v>6291159</v>
      </c>
      <c r="D100" s="88">
        <f>ACTIVO!D92</f>
        <v>7190761</v>
      </c>
      <c r="E100" s="88">
        <f>ACTIVO!E92</f>
        <v>5690760.9000000004</v>
      </c>
      <c r="F100" s="88">
        <f>ACTIVO!F92</f>
        <v>4831483.7270000009</v>
      </c>
      <c r="G100" s="88">
        <f>ACTIVO!G92</f>
        <v>4976428.2388100009</v>
      </c>
      <c r="H100" s="70">
        <v>400073</v>
      </c>
    </row>
    <row r="101" spans="1:8" s="47" customFormat="1" ht="14" thickBot="1" x14ac:dyDescent="0.2">
      <c r="A101" s="45"/>
      <c r="B101" s="46"/>
      <c r="C101" s="54"/>
      <c r="D101" s="45"/>
      <c r="H101" s="45"/>
    </row>
    <row r="102" spans="1:8" ht="14" thickBot="1" x14ac:dyDescent="0.2">
      <c r="A102" s="173" t="s">
        <v>340</v>
      </c>
      <c r="B102" s="68"/>
      <c r="C102" s="175" t="str">
        <f>+IF(ROUND((C96+C98-C100), 0)=0,"OK","KO")</f>
        <v>OK</v>
      </c>
      <c r="D102" s="175" t="str">
        <f t="shared" ref="D102:G102" si="0">+IF(ROUND((D96+D98-D100), 0)=0,"OK","KO")</f>
        <v>OK</v>
      </c>
      <c r="E102" s="175" t="str">
        <f t="shared" si="0"/>
        <v>OK</v>
      </c>
      <c r="F102" s="175" t="str">
        <f t="shared" si="0"/>
        <v>OK</v>
      </c>
      <c r="G102" s="176" t="str">
        <f t="shared" si="0"/>
        <v>OK</v>
      </c>
    </row>
    <row r="103" spans="1:8" s="43" customFormat="1" ht="16" x14ac:dyDescent="0.2">
      <c r="A103" s="45"/>
      <c r="B103" s="46"/>
      <c r="C103" s="54"/>
      <c r="D103" s="45"/>
      <c r="H103" s="45"/>
    </row>
    <row r="104" spans="1:8" s="47" customFormat="1" x14ac:dyDescent="0.15">
      <c r="A104" s="45"/>
      <c r="B104" s="46"/>
      <c r="C104" s="54"/>
      <c r="D104" s="45"/>
      <c r="H104" s="45"/>
    </row>
    <row r="105" spans="1:8" s="43" customFormat="1" ht="16" x14ac:dyDescent="0.2">
      <c r="A105" s="45"/>
      <c r="B105" s="46"/>
      <c r="C105" s="54"/>
      <c r="D105" s="45"/>
      <c r="H105" s="45"/>
    </row>
    <row r="106" spans="1:8" s="43" customFormat="1" ht="16" x14ac:dyDescent="0.2">
      <c r="A106" s="45"/>
      <c r="B106" s="46"/>
      <c r="C106" s="54"/>
      <c r="D106" s="45"/>
      <c r="H106" s="45"/>
    </row>
  </sheetData>
  <sheetProtection algorithmName="SHA-512" hashValue="LwoFTWS1zTZt2kM3vuiovvG3Gh95zQhyHn3flCm1pUf7fOdCyzBg5Haf2QE/mEGij2/IvUJvAZ/SVu/dtGeJTA==" saltValue="BChMivM2R7JKUokpnwovHA==" spinCount="100000" sheet="1" selectLockedCells="1"/>
  <mergeCells count="1">
    <mergeCell ref="D3:G3"/>
  </mergeCells>
  <phoneticPr fontId="0" type="noConversion"/>
  <conditionalFormatting sqref="C102:G102">
    <cfRule type="cellIs" dxfId="19" priority="17" stopIfTrue="1" operator="equal">
      <formula>"KO"</formula>
    </cfRule>
    <cfRule type="cellIs" dxfId="18" priority="18" stopIfTrue="1" operator="equal">
      <formula>"OK"</formula>
    </cfRule>
  </conditionalFormatting>
  <conditionalFormatting sqref="C102:G102">
    <cfRule type="cellIs" dxfId="17" priority="15" stopIfTrue="1" operator="equal">
      <formula>"KO"</formula>
    </cfRule>
    <cfRule type="cellIs" dxfId="16" priority="16" stopIfTrue="1" operator="equal">
      <formula>"OK"</formula>
    </cfRule>
  </conditionalFormatting>
  <conditionalFormatting sqref="C102:G102">
    <cfRule type="cellIs" dxfId="15" priority="13" stopIfTrue="1" operator="equal">
      <formula>"KO"</formula>
    </cfRule>
    <cfRule type="cellIs" dxfId="14" priority="14" stopIfTrue="1" operator="equal">
      <formula>"OK"</formula>
    </cfRule>
  </conditionalFormatting>
  <conditionalFormatting sqref="C102:G102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02:G102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02:G102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02:G102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02:G102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02:G102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3307086614173229" right="0.19685039370078741" top="0.39370078740157483" bottom="0.39370078740157483" header="0" footer="0"/>
  <pageSetup paperSize="9" scale="70" orientation="landscape" r:id="rId1"/>
  <headerFooter alignWithMargins="0"/>
  <rowBreaks count="1" manualBreakCount="1">
    <brk id="62" max="16383" man="1"/>
  </rowBreaks>
  <ignoredErrors>
    <ignoredError sqref="C11:E11 C17:E18 C19:E19 C20:E20 D26:E26 E24 D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107"/>
  <sheetViews>
    <sheetView topLeftCell="A70" workbookViewId="0">
      <selection activeCell="E93" sqref="E93"/>
    </sheetView>
  </sheetViews>
  <sheetFormatPr baseColWidth="10" defaultColWidth="11.5" defaultRowHeight="13" x14ac:dyDescent="0.15"/>
  <cols>
    <col min="1" max="1" width="75.6640625" style="17" bestFit="1" customWidth="1"/>
    <col min="2" max="2" width="2.6640625" style="17" customWidth="1"/>
    <col min="3" max="4" width="15.6640625" style="18" customWidth="1"/>
    <col min="5" max="6" width="15.6640625" style="17" customWidth="1"/>
    <col min="7" max="7" width="16" style="17" customWidth="1"/>
    <col min="8" max="8" width="7" style="17" hidden="1" customWidth="1"/>
    <col min="9" max="16384" width="11.5" style="17"/>
  </cols>
  <sheetData>
    <row r="1" spans="1:8" s="1" customFormat="1" x14ac:dyDescent="0.15">
      <c r="C1" s="101"/>
      <c r="D1" s="101"/>
    </row>
    <row r="2" spans="1:8" s="103" customFormat="1" ht="17" thickBot="1" x14ac:dyDescent="0.25">
      <c r="A2" s="102" t="str">
        <f>IF('DATOS EMPRESA'!C4&lt;&gt;"",'DATOS EMPRESA'!C4,"")</f>
        <v>FUNDACIÓN INSTITUTO HIDRAÚLICA AMBIENTAL DE CANTABRIA</v>
      </c>
      <c r="C2" s="104"/>
      <c r="D2" s="104"/>
      <c r="G2" s="102"/>
      <c r="H2" s="1"/>
    </row>
    <row r="3" spans="1:8" s="1" customFormat="1" x14ac:dyDescent="0.15">
      <c r="A3" s="94"/>
      <c r="B3" s="178"/>
      <c r="C3" s="168" t="s">
        <v>337</v>
      </c>
      <c r="D3" s="190" t="s">
        <v>0</v>
      </c>
      <c r="E3" s="191"/>
      <c r="F3" s="191"/>
      <c r="G3" s="192"/>
      <c r="H3" s="105"/>
    </row>
    <row r="4" spans="1:8" s="107" customFormat="1" ht="19" thickBot="1" x14ac:dyDescent="0.25">
      <c r="A4" s="106" t="s">
        <v>82</v>
      </c>
      <c r="B4" s="177"/>
      <c r="C4" s="184">
        <v>2023</v>
      </c>
      <c r="D4" s="167">
        <v>2024</v>
      </c>
      <c r="E4" s="167">
        <v>2025</v>
      </c>
      <c r="F4" s="167">
        <v>2026</v>
      </c>
      <c r="G4" s="185">
        <v>2027</v>
      </c>
      <c r="H4" s="108"/>
    </row>
    <row r="5" spans="1:8" s="1" customFormat="1" ht="9" customHeight="1" x14ac:dyDescent="0.15">
      <c r="C5" s="101"/>
      <c r="D5" s="101"/>
      <c r="E5" s="101"/>
    </row>
    <row r="6" spans="1:8" s="58" customFormat="1" ht="16" x14ac:dyDescent="0.2">
      <c r="A6" s="58" t="s">
        <v>83</v>
      </c>
      <c r="C6" s="109">
        <f>C8+C17+C25+C30+C34+C41+C48</f>
        <v>28050925.810000002</v>
      </c>
      <c r="D6" s="109">
        <f>D8+D17+D25+D30+D34+D41+D48</f>
        <v>27205938.090000004</v>
      </c>
      <c r="E6" s="109">
        <f>E8+E17+E25+E30+E34+E41+E48</f>
        <v>29811518.090000004</v>
      </c>
      <c r="F6" s="109">
        <f>F8+F17+F25+F30+F34+F41+F48</f>
        <v>28948387.090000004</v>
      </c>
      <c r="G6" s="109">
        <f>G8+G17+G25+G30+G34+G41+G48</f>
        <v>27833173.090000004</v>
      </c>
      <c r="H6" s="1">
        <v>700000</v>
      </c>
    </row>
    <row r="7" spans="1:8" s="1" customFormat="1" ht="7.25" customHeight="1" x14ac:dyDescent="0.15">
      <c r="C7" s="110"/>
      <c r="D7" s="110"/>
      <c r="E7" s="110"/>
      <c r="F7" s="110"/>
      <c r="G7" s="110"/>
      <c r="H7" s="1" t="s">
        <v>324</v>
      </c>
    </row>
    <row r="8" spans="1:8" s="55" customFormat="1" x14ac:dyDescent="0.15">
      <c r="A8" s="55" t="s">
        <v>84</v>
      </c>
      <c r="C8" s="111">
        <f>C9+C10+C11+C12+C13+C14+C15</f>
        <v>30431.759999999998</v>
      </c>
      <c r="D8" s="111">
        <f>D9+D10+D11+D12+D13+D14+D15</f>
        <v>21150.850000000006</v>
      </c>
      <c r="E8" s="111">
        <f>E9+E10+E11+E12+E13+E14+E15</f>
        <v>68748.850000000006</v>
      </c>
      <c r="F8" s="111">
        <f>F9+F10+F11+F12+F13+F14+F15</f>
        <v>54198.850000000006</v>
      </c>
      <c r="G8" s="111">
        <f>G9+G10+G11+G12+G13+G14+G15</f>
        <v>37565.850000000006</v>
      </c>
      <c r="H8" s="1">
        <v>700001</v>
      </c>
    </row>
    <row r="9" spans="1:8" s="82" customFormat="1" ht="12" customHeight="1" x14ac:dyDescent="0.15">
      <c r="A9" s="82" t="s">
        <v>85</v>
      </c>
      <c r="C9" s="83">
        <v>3305.91</v>
      </c>
      <c r="D9" s="83">
        <v>3306</v>
      </c>
      <c r="E9" s="83">
        <v>3306</v>
      </c>
      <c r="F9" s="83">
        <v>3306</v>
      </c>
      <c r="G9" s="83">
        <v>3306</v>
      </c>
      <c r="H9" s="1">
        <v>700002</v>
      </c>
    </row>
    <row r="10" spans="1:8" s="82" customFormat="1" x14ac:dyDescent="0.15">
      <c r="A10" s="82" t="s">
        <v>86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1">
        <v>700003</v>
      </c>
    </row>
    <row r="11" spans="1:8" s="82" customFormat="1" x14ac:dyDescent="0.15">
      <c r="A11" s="82" t="s">
        <v>87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1">
        <v>700004</v>
      </c>
    </row>
    <row r="12" spans="1:8" s="82" customFormat="1" x14ac:dyDescent="0.15">
      <c r="A12" s="82" t="s">
        <v>88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1">
        <v>700005</v>
      </c>
    </row>
    <row r="13" spans="1:8" s="82" customFormat="1" x14ac:dyDescent="0.15">
      <c r="A13" s="82" t="s">
        <v>89</v>
      </c>
      <c r="C13" s="83">
        <v>27125.85</v>
      </c>
      <c r="D13" s="83">
        <f>+C13+39232-48513</f>
        <v>17844.850000000006</v>
      </c>
      <c r="E13" s="83">
        <f>+D13+60000-12402</f>
        <v>65442.850000000006</v>
      </c>
      <c r="F13" s="83">
        <f>+E13+20000-34550</f>
        <v>50892.850000000006</v>
      </c>
      <c r="G13" s="83">
        <f>+F13+10000-26633</f>
        <v>34259.850000000006</v>
      </c>
      <c r="H13" s="1">
        <v>700006</v>
      </c>
    </row>
    <row r="14" spans="1:8" s="82" customFormat="1" x14ac:dyDescent="0.15">
      <c r="A14" s="82" t="s">
        <v>315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1">
        <v>700007</v>
      </c>
    </row>
    <row r="15" spans="1:8" s="82" customFormat="1" x14ac:dyDescent="0.15">
      <c r="A15" s="82" t="s">
        <v>316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1">
        <v>700008</v>
      </c>
    </row>
    <row r="16" spans="1:8" s="82" customFormat="1" ht="7.25" customHeight="1" x14ac:dyDescent="0.15">
      <c r="C16" s="113"/>
      <c r="D16" s="113"/>
      <c r="E16" s="113"/>
      <c r="F16" s="113"/>
      <c r="G16" s="113"/>
      <c r="H16" s="1" t="s">
        <v>324</v>
      </c>
    </row>
    <row r="17" spans="1:8" s="55" customFormat="1" x14ac:dyDescent="0.15">
      <c r="A17" s="55" t="s">
        <v>233</v>
      </c>
      <c r="C17" s="111">
        <f>C18+C19+C20+C21+C22+C23</f>
        <v>0</v>
      </c>
      <c r="D17" s="111">
        <f>D18+D19+D20+D21+D22+D23</f>
        <v>0</v>
      </c>
      <c r="E17" s="111">
        <f>E18+E19+E20+E21+E22+E23</f>
        <v>0</v>
      </c>
      <c r="F17" s="111">
        <f>F18+F19+F20+F21+F22+F23</f>
        <v>0</v>
      </c>
      <c r="G17" s="111">
        <f>G18+G19+G20+G21+G22+G23</f>
        <v>0</v>
      </c>
      <c r="H17" s="1">
        <v>700009</v>
      </c>
    </row>
    <row r="18" spans="1:8" s="82" customFormat="1" ht="12" customHeight="1" x14ac:dyDescent="0.15">
      <c r="A18" s="82" t="s">
        <v>234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1">
        <v>700010</v>
      </c>
    </row>
    <row r="19" spans="1:8" s="82" customFormat="1" x14ac:dyDescent="0.15">
      <c r="A19" s="82" t="s">
        <v>235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1">
        <v>700011</v>
      </c>
    </row>
    <row r="20" spans="1:8" s="82" customFormat="1" x14ac:dyDescent="0.15">
      <c r="A20" s="82" t="s">
        <v>236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1">
        <v>700012</v>
      </c>
    </row>
    <row r="21" spans="1:8" s="82" customFormat="1" x14ac:dyDescent="0.15">
      <c r="A21" s="82" t="s">
        <v>237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  <c r="H21" s="1">
        <v>700013</v>
      </c>
    </row>
    <row r="22" spans="1:8" s="82" customFormat="1" x14ac:dyDescent="0.15">
      <c r="A22" s="82" t="s">
        <v>238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1">
        <v>700014</v>
      </c>
    </row>
    <row r="23" spans="1:8" s="82" customFormat="1" x14ac:dyDescent="0.15">
      <c r="A23" s="82" t="s">
        <v>239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1">
        <v>700015</v>
      </c>
    </row>
    <row r="24" spans="1:8" s="25" customFormat="1" ht="7.25" customHeight="1" x14ac:dyDescent="0.15">
      <c r="A24" s="17"/>
      <c r="B24" s="17"/>
      <c r="C24" s="21"/>
      <c r="D24" s="21"/>
      <c r="E24" s="21"/>
      <c r="F24" s="21"/>
      <c r="G24" s="21"/>
      <c r="H24" s="17" t="s">
        <v>324</v>
      </c>
    </row>
    <row r="25" spans="1:8" s="1" customFormat="1" x14ac:dyDescent="0.15">
      <c r="A25" s="55" t="s">
        <v>232</v>
      </c>
      <c r="B25" s="55"/>
      <c r="C25" s="111">
        <f>C26+C27+C28</f>
        <v>25358220.240000002</v>
      </c>
      <c r="D25" s="111">
        <f>D26+D27+D28</f>
        <v>24728130.240000002</v>
      </c>
      <c r="E25" s="111">
        <f>E26+E27+E28</f>
        <v>27505761.240000002</v>
      </c>
      <c r="F25" s="111">
        <f>F26+F27+F28</f>
        <v>26458392.240000002</v>
      </c>
      <c r="G25" s="111">
        <f>G26+G27+G28</f>
        <v>25161023.240000002</v>
      </c>
      <c r="H25" s="1">
        <v>700016</v>
      </c>
    </row>
    <row r="26" spans="1:8" s="55" customFormat="1" x14ac:dyDescent="0.15">
      <c r="A26" s="82" t="s">
        <v>90</v>
      </c>
      <c r="B26" s="82"/>
      <c r="C26" s="83">
        <v>24496850.640000001</v>
      </c>
      <c r="D26" s="83">
        <f>+C26-531063</f>
        <v>23965787.640000001</v>
      </c>
      <c r="E26" s="83">
        <v>23434722.640000001</v>
      </c>
      <c r="F26" s="83">
        <v>22903657.640000001</v>
      </c>
      <c r="G26" s="83">
        <v>22372592.640000001</v>
      </c>
      <c r="H26" s="1">
        <v>700017</v>
      </c>
    </row>
    <row r="27" spans="1:8" s="1" customFormat="1" ht="12" customHeight="1" x14ac:dyDescent="0.15">
      <c r="A27" s="82" t="s">
        <v>91</v>
      </c>
      <c r="B27" s="82"/>
      <c r="C27" s="83">
        <v>861369.6</v>
      </c>
      <c r="D27" s="83">
        <f>+C27+147788-246815</f>
        <v>762342.6</v>
      </c>
      <c r="E27" s="83">
        <f>3071038.6+1000000</f>
        <v>4071038.6</v>
      </c>
      <c r="F27" s="83">
        <f>+E27-236304+20000-300000</f>
        <v>3554734.6</v>
      </c>
      <c r="G27" s="83">
        <f>F27-536304+20000-250000</f>
        <v>2788430.6</v>
      </c>
      <c r="H27" s="1">
        <v>700018</v>
      </c>
    </row>
    <row r="28" spans="1:8" s="112" customFormat="1" x14ac:dyDescent="0.15">
      <c r="A28" s="82" t="s">
        <v>92</v>
      </c>
      <c r="B28" s="82"/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1">
        <v>700019</v>
      </c>
    </row>
    <row r="29" spans="1:8" s="25" customFormat="1" ht="8" customHeight="1" x14ac:dyDescent="0.15">
      <c r="A29" s="17"/>
      <c r="B29" s="17"/>
      <c r="C29" s="21"/>
      <c r="D29" s="21"/>
      <c r="E29" s="21"/>
      <c r="F29" s="21"/>
      <c r="G29" s="21"/>
      <c r="H29" s="17" t="s">
        <v>324</v>
      </c>
    </row>
    <row r="30" spans="1:8" s="112" customFormat="1" x14ac:dyDescent="0.15">
      <c r="A30" s="55" t="s">
        <v>231</v>
      </c>
      <c r="B30" s="55"/>
      <c r="C30" s="111">
        <f>C31+C32</f>
        <v>0</v>
      </c>
      <c r="D30" s="111">
        <f>D31+D32</f>
        <v>0</v>
      </c>
      <c r="E30" s="111">
        <f>E31+E32</f>
        <v>0</v>
      </c>
      <c r="F30" s="111">
        <f>F31+F32</f>
        <v>0</v>
      </c>
      <c r="G30" s="111">
        <f>G31+G32</f>
        <v>0</v>
      </c>
      <c r="H30" s="1">
        <v>700020</v>
      </c>
    </row>
    <row r="31" spans="1:8" s="1" customFormat="1" x14ac:dyDescent="0.15">
      <c r="A31" s="82" t="s">
        <v>93</v>
      </c>
      <c r="B31" s="82"/>
      <c r="C31" s="83">
        <v>0</v>
      </c>
      <c r="D31" s="83">
        <v>0</v>
      </c>
      <c r="E31" s="83">
        <v>0</v>
      </c>
      <c r="F31" s="83">
        <v>0</v>
      </c>
      <c r="G31" s="83">
        <v>0</v>
      </c>
      <c r="H31" s="1">
        <v>700021</v>
      </c>
    </row>
    <row r="32" spans="1:8" s="55" customFormat="1" x14ac:dyDescent="0.15">
      <c r="A32" s="82" t="s">
        <v>94</v>
      </c>
      <c r="B32" s="82"/>
      <c r="C32" s="83">
        <v>0</v>
      </c>
      <c r="D32" s="83">
        <v>0</v>
      </c>
      <c r="E32" s="83">
        <v>0</v>
      </c>
      <c r="F32" s="83">
        <v>0</v>
      </c>
      <c r="G32" s="83">
        <v>0</v>
      </c>
      <c r="H32" s="1">
        <v>700022</v>
      </c>
    </row>
    <row r="33" spans="1:8" ht="7.25" customHeight="1" x14ac:dyDescent="0.15">
      <c r="C33" s="21"/>
      <c r="D33" s="21"/>
      <c r="E33" s="21"/>
      <c r="F33" s="21"/>
      <c r="G33" s="21"/>
      <c r="H33" s="17" t="s">
        <v>324</v>
      </c>
    </row>
    <row r="34" spans="1:8" s="1" customFormat="1" x14ac:dyDescent="0.15">
      <c r="A34" s="55" t="s">
        <v>241</v>
      </c>
      <c r="B34" s="55"/>
      <c r="C34" s="111">
        <f>C35+C36+C37+C38+C39</f>
        <v>1</v>
      </c>
      <c r="D34" s="111">
        <f>D35+D36+D37+D38+D39</f>
        <v>1</v>
      </c>
      <c r="E34" s="111">
        <f>E35+E36+E37+E38+E39</f>
        <v>1</v>
      </c>
      <c r="F34" s="111">
        <f>F35+F36+F37+F38+F39</f>
        <v>1</v>
      </c>
      <c r="G34" s="111">
        <f>G35+G36+G37+G38+G39</f>
        <v>1</v>
      </c>
      <c r="H34" s="1">
        <v>700023</v>
      </c>
    </row>
    <row r="35" spans="1:8" s="1" customFormat="1" x14ac:dyDescent="0.15">
      <c r="A35" s="82" t="s">
        <v>95</v>
      </c>
      <c r="B35" s="82"/>
      <c r="C35" s="83">
        <v>1</v>
      </c>
      <c r="D35" s="83">
        <v>1</v>
      </c>
      <c r="E35" s="83">
        <v>1</v>
      </c>
      <c r="F35" s="83">
        <v>1</v>
      </c>
      <c r="G35" s="83">
        <v>1</v>
      </c>
      <c r="H35" s="1">
        <v>700024</v>
      </c>
    </row>
    <row r="36" spans="1:8" s="1" customFormat="1" x14ac:dyDescent="0.15">
      <c r="A36" s="82" t="s">
        <v>240</v>
      </c>
      <c r="B36" s="82"/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1">
        <v>700025</v>
      </c>
    </row>
    <row r="37" spans="1:8" s="1" customFormat="1" x14ac:dyDescent="0.15">
      <c r="A37" s="82" t="s">
        <v>96</v>
      </c>
      <c r="B37" s="82"/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1">
        <v>700026</v>
      </c>
    </row>
    <row r="38" spans="1:8" s="1" customFormat="1" x14ac:dyDescent="0.15">
      <c r="A38" s="82" t="s">
        <v>97</v>
      </c>
      <c r="B38" s="82"/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1">
        <v>700027</v>
      </c>
    </row>
    <row r="39" spans="1:8" s="55" customFormat="1" x14ac:dyDescent="0.15">
      <c r="A39" s="82" t="s">
        <v>98</v>
      </c>
      <c r="B39" s="82"/>
      <c r="C39" s="83">
        <v>0</v>
      </c>
      <c r="D39" s="83">
        <v>0</v>
      </c>
      <c r="E39" s="83">
        <v>0</v>
      </c>
      <c r="F39" s="83">
        <v>0</v>
      </c>
      <c r="G39" s="83">
        <v>0</v>
      </c>
      <c r="H39" s="1">
        <v>700028</v>
      </c>
    </row>
    <row r="40" spans="1:8" ht="8" customHeight="1" x14ac:dyDescent="0.15">
      <c r="C40" s="21"/>
      <c r="D40" s="21"/>
      <c r="E40" s="21"/>
      <c r="F40" s="21"/>
      <c r="G40" s="21"/>
      <c r="H40" s="17" t="s">
        <v>324</v>
      </c>
    </row>
    <row r="41" spans="1:8" s="112" customFormat="1" x14ac:dyDescent="0.15">
      <c r="A41" s="55" t="s">
        <v>242</v>
      </c>
      <c r="B41" s="55"/>
      <c r="C41" s="111">
        <f>C42+C43+C44+C45+C46</f>
        <v>114278</v>
      </c>
      <c r="D41" s="111">
        <f>D42+D43+D44+D45+D46</f>
        <v>20861</v>
      </c>
      <c r="E41" s="111">
        <f>E42+E43+E44+E45+E46</f>
        <v>0</v>
      </c>
      <c r="F41" s="111">
        <f>F42+F43+F44+F45+F46</f>
        <v>0</v>
      </c>
      <c r="G41" s="111">
        <f>G42+G43+G44+G45+G46</f>
        <v>0</v>
      </c>
      <c r="H41" s="1">
        <v>700029</v>
      </c>
    </row>
    <row r="42" spans="1:8" s="112" customFormat="1" x14ac:dyDescent="0.15">
      <c r="A42" s="82" t="s">
        <v>95</v>
      </c>
      <c r="B42" s="82"/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1">
        <v>700030</v>
      </c>
    </row>
    <row r="43" spans="1:8" s="112" customFormat="1" x14ac:dyDescent="0.15">
      <c r="A43" s="82" t="s">
        <v>99</v>
      </c>
      <c r="B43" s="82"/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1">
        <v>700031</v>
      </c>
    </row>
    <row r="44" spans="1:8" s="112" customFormat="1" x14ac:dyDescent="0.15">
      <c r="A44" s="82" t="s">
        <v>96</v>
      </c>
      <c r="B44" s="82"/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1">
        <v>700032</v>
      </c>
    </row>
    <row r="45" spans="1:8" s="112" customFormat="1" x14ac:dyDescent="0.15">
      <c r="A45" s="82" t="s">
        <v>97</v>
      </c>
      <c r="B45" s="82"/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1">
        <v>700033</v>
      </c>
    </row>
    <row r="46" spans="1:8" s="1" customFormat="1" x14ac:dyDescent="0.15">
      <c r="A46" s="82" t="s">
        <v>98</v>
      </c>
      <c r="B46" s="82"/>
      <c r="C46" s="83">
        <v>114278</v>
      </c>
      <c r="D46" s="83">
        <v>20861</v>
      </c>
      <c r="E46" s="83">
        <v>0</v>
      </c>
      <c r="F46" s="83">
        <v>0</v>
      </c>
      <c r="G46" s="83">
        <v>0</v>
      </c>
      <c r="H46" s="1">
        <v>700034</v>
      </c>
    </row>
    <row r="47" spans="1:8" s="24" customFormat="1" ht="8" customHeight="1" x14ac:dyDescent="0.15">
      <c r="A47" s="17"/>
      <c r="B47" s="17"/>
      <c r="C47" s="21"/>
      <c r="D47" s="21"/>
      <c r="E47" s="21"/>
      <c r="F47" s="21"/>
      <c r="G47" s="21"/>
      <c r="H47" s="17" t="s">
        <v>324</v>
      </c>
    </row>
    <row r="48" spans="1:8" s="1" customFormat="1" ht="12.75" customHeight="1" x14ac:dyDescent="0.15">
      <c r="A48" s="55" t="s">
        <v>243</v>
      </c>
      <c r="B48" s="55"/>
      <c r="C48" s="114">
        <v>2547994.81</v>
      </c>
      <c r="D48" s="114">
        <v>2435795</v>
      </c>
      <c r="E48" s="114">
        <v>2237007</v>
      </c>
      <c r="F48" s="114">
        <v>2435795</v>
      </c>
      <c r="G48" s="114">
        <v>2634583</v>
      </c>
      <c r="H48" s="1">
        <v>700035</v>
      </c>
    </row>
    <row r="49" spans="1:8" s="25" customFormat="1" x14ac:dyDescent="0.15">
      <c r="A49" s="24"/>
      <c r="B49" s="24"/>
      <c r="C49" s="27"/>
      <c r="D49" s="27"/>
      <c r="E49" s="27"/>
      <c r="F49" s="27"/>
      <c r="G49" s="27"/>
      <c r="H49" s="17" t="s">
        <v>324</v>
      </c>
    </row>
    <row r="50" spans="1:8" s="112" customFormat="1" ht="16" x14ac:dyDescent="0.2">
      <c r="A50" s="58" t="s">
        <v>100</v>
      </c>
      <c r="B50" s="58"/>
      <c r="C50" s="109">
        <f>C52+C54+C62+C67+C76+C83+C90+C92</f>
        <v>14679126.309999999</v>
      </c>
      <c r="D50" s="109">
        <f>D52+D54+D62+D67+D76+D83+D90+D92</f>
        <v>13560614</v>
      </c>
      <c r="E50" s="109">
        <f>E52+E54+E62+E67+E76+E83+E90+E92</f>
        <v>12154071.9</v>
      </c>
      <c r="F50" s="109">
        <f>F52+F54+F62+F67+F76+F83+F90+F92</f>
        <v>10928776.477000002</v>
      </c>
      <c r="G50" s="109">
        <f>G52+G54+G62+G67+G76+G83+G90+G92</f>
        <v>11229179.698810002</v>
      </c>
      <c r="H50" s="1">
        <v>700036</v>
      </c>
    </row>
    <row r="51" spans="1:8" s="1" customFormat="1" ht="8" customHeight="1" x14ac:dyDescent="0.15">
      <c r="C51" s="110"/>
      <c r="D51" s="110"/>
      <c r="E51" s="110"/>
      <c r="F51" s="110"/>
      <c r="G51" s="110"/>
      <c r="H51" s="1" t="s">
        <v>324</v>
      </c>
    </row>
    <row r="52" spans="1:8" s="55" customFormat="1" x14ac:dyDescent="0.15">
      <c r="A52" s="55" t="s">
        <v>101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">
        <v>700037</v>
      </c>
    </row>
    <row r="53" spans="1:8" s="1" customFormat="1" ht="8" customHeight="1" x14ac:dyDescent="0.15">
      <c r="C53" s="110"/>
      <c r="D53" s="110"/>
      <c r="E53" s="110"/>
      <c r="F53" s="110"/>
      <c r="G53" s="110"/>
      <c r="H53" s="1" t="s">
        <v>324</v>
      </c>
    </row>
    <row r="54" spans="1:8" s="1" customFormat="1" x14ac:dyDescent="0.15">
      <c r="A54" s="55" t="s">
        <v>102</v>
      </c>
      <c r="B54" s="55"/>
      <c r="C54" s="111">
        <f>C55+C56+C57+C58+C59+C60</f>
        <v>0</v>
      </c>
      <c r="D54" s="111">
        <f>D55+D56+D57+D58+D59+D60</f>
        <v>0</v>
      </c>
      <c r="E54" s="111">
        <f>E55+E56+E57+E58+E59+E60</f>
        <v>0</v>
      </c>
      <c r="F54" s="111">
        <f>F55+F56+F57+F58+F59+F60</f>
        <v>0</v>
      </c>
      <c r="G54" s="111">
        <f>G55+G56+G57+G58+G59+G60</f>
        <v>0</v>
      </c>
      <c r="H54" s="1">
        <v>700038</v>
      </c>
    </row>
    <row r="55" spans="1:8" s="20" customFormat="1" ht="13.5" customHeight="1" x14ac:dyDescent="0.2">
      <c r="A55" s="82" t="s">
        <v>244</v>
      </c>
      <c r="B55" s="23"/>
      <c r="C55" s="83">
        <v>0</v>
      </c>
      <c r="D55" s="83">
        <v>0</v>
      </c>
      <c r="E55" s="83">
        <v>0</v>
      </c>
      <c r="F55" s="83">
        <v>0</v>
      </c>
      <c r="G55" s="83">
        <v>0</v>
      </c>
      <c r="H55" s="17">
        <v>700039</v>
      </c>
    </row>
    <row r="56" spans="1:8" s="1" customFormat="1" ht="12.75" customHeight="1" x14ac:dyDescent="0.15">
      <c r="A56" s="82" t="s">
        <v>103</v>
      </c>
      <c r="B56" s="82"/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1">
        <v>700040</v>
      </c>
    </row>
    <row r="57" spans="1:8" s="55" customFormat="1" ht="13.5" customHeight="1" x14ac:dyDescent="0.15">
      <c r="A57" s="82" t="s">
        <v>104</v>
      </c>
      <c r="B57" s="82"/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1">
        <v>700041</v>
      </c>
    </row>
    <row r="58" spans="1:8" s="1" customFormat="1" x14ac:dyDescent="0.15">
      <c r="A58" s="82" t="s">
        <v>105</v>
      </c>
      <c r="B58" s="82"/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1">
        <v>700042</v>
      </c>
    </row>
    <row r="59" spans="1:8" s="55" customFormat="1" x14ac:dyDescent="0.15">
      <c r="A59" s="82" t="s">
        <v>106</v>
      </c>
      <c r="B59" s="82"/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1">
        <v>700043</v>
      </c>
    </row>
    <row r="60" spans="1:8" s="1" customFormat="1" ht="13.5" customHeight="1" x14ac:dyDescent="0.15">
      <c r="A60" s="82" t="s">
        <v>107</v>
      </c>
      <c r="B60" s="82"/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1">
        <v>700044</v>
      </c>
    </row>
    <row r="61" spans="1:8" s="25" customFormat="1" ht="8" customHeight="1" x14ac:dyDescent="0.15">
      <c r="A61" s="17"/>
      <c r="B61" s="17"/>
      <c r="C61" s="21"/>
      <c r="D61" s="21"/>
      <c r="E61" s="21"/>
      <c r="F61" s="21"/>
      <c r="G61" s="21"/>
      <c r="H61" s="17" t="s">
        <v>324</v>
      </c>
    </row>
    <row r="62" spans="1:8" s="112" customFormat="1" x14ac:dyDescent="0.15">
      <c r="A62" s="55" t="s">
        <v>247</v>
      </c>
      <c r="B62" s="55"/>
      <c r="C62" s="111">
        <f>C63+C64+C65</f>
        <v>0</v>
      </c>
      <c r="D62" s="111">
        <f>D63+D64+D65</f>
        <v>0</v>
      </c>
      <c r="E62" s="111">
        <f>E63+E64+E65</f>
        <v>0</v>
      </c>
      <c r="F62" s="111">
        <f>F63+F64+F65</f>
        <v>0</v>
      </c>
      <c r="G62" s="111">
        <f>G63+G64+G65</f>
        <v>0</v>
      </c>
      <c r="H62" s="1">
        <v>700045</v>
      </c>
    </row>
    <row r="63" spans="1:8" s="112" customFormat="1" x14ac:dyDescent="0.15">
      <c r="A63" s="82" t="s">
        <v>248</v>
      </c>
      <c r="B63" s="82"/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1">
        <v>700046</v>
      </c>
    </row>
    <row r="64" spans="1:8" s="112" customFormat="1" x14ac:dyDescent="0.15">
      <c r="A64" s="82" t="s">
        <v>249</v>
      </c>
      <c r="B64" s="82"/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1">
        <v>700047</v>
      </c>
    </row>
    <row r="65" spans="1:8" s="112" customFormat="1" x14ac:dyDescent="0.15">
      <c r="A65" s="82" t="s">
        <v>250</v>
      </c>
      <c r="B65" s="82"/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1">
        <v>700048</v>
      </c>
    </row>
    <row r="66" spans="1:8" s="112" customFormat="1" ht="8" customHeight="1" x14ac:dyDescent="0.15">
      <c r="A66" s="82"/>
      <c r="B66" s="82"/>
      <c r="C66" s="113"/>
      <c r="D66" s="113"/>
      <c r="E66" s="113"/>
      <c r="F66" s="113"/>
      <c r="G66" s="113"/>
      <c r="H66" s="1" t="s">
        <v>324</v>
      </c>
    </row>
    <row r="67" spans="1:8" s="112" customFormat="1" x14ac:dyDescent="0.15">
      <c r="A67" s="55" t="s">
        <v>251</v>
      </c>
      <c r="B67" s="55"/>
      <c r="C67" s="111">
        <f>C68+C69+C70+C71+C72+C73+C74</f>
        <v>4690161.0999999996</v>
      </c>
      <c r="D67" s="111">
        <f>D68+D69+D70+D71+D72+D73+D74</f>
        <v>4112207</v>
      </c>
      <c r="E67" s="111">
        <f>E68+E69+E70+E71+E72+E73+E74</f>
        <v>3706967</v>
      </c>
      <c r="F67" s="111">
        <f>F68+F69+F70+F71+F72+F73+F74</f>
        <v>3243022.75</v>
      </c>
      <c r="G67" s="111">
        <f>G68+G69+G70+G71+G72+G73+G74</f>
        <v>3349173.4600000004</v>
      </c>
      <c r="H67" s="1">
        <v>700049</v>
      </c>
    </row>
    <row r="68" spans="1:8" s="112" customFormat="1" x14ac:dyDescent="0.15">
      <c r="A68" s="82" t="s">
        <v>108</v>
      </c>
      <c r="B68" s="82"/>
      <c r="C68" s="83">
        <v>1547291.71</v>
      </c>
      <c r="D68" s="83">
        <v>990640</v>
      </c>
      <c r="E68" s="83">
        <f>+D68+101250</f>
        <v>1091890</v>
      </c>
      <c r="F68" s="83">
        <f>+E68+75690</f>
        <v>1167580</v>
      </c>
      <c r="G68" s="83">
        <f>+F68+25410</f>
        <v>1192990</v>
      </c>
      <c r="H68" s="1">
        <v>700050</v>
      </c>
    </row>
    <row r="69" spans="1:8" s="112" customFormat="1" x14ac:dyDescent="0.15">
      <c r="A69" s="82" t="s">
        <v>246</v>
      </c>
      <c r="B69" s="82"/>
      <c r="C69" s="83">
        <v>3129320.88</v>
      </c>
      <c r="D69" s="83">
        <f>2866433+1363219-1200000</f>
        <v>3029652</v>
      </c>
      <c r="E69" s="83">
        <f>+D69-500000</f>
        <v>2529652</v>
      </c>
      <c r="F69" s="83">
        <v>1987455</v>
      </c>
      <c r="G69" s="83">
        <f>+F69*1.03</f>
        <v>2047078.6500000001</v>
      </c>
      <c r="H69" s="1">
        <v>700051</v>
      </c>
    </row>
    <row r="70" spans="1:8" s="112" customFormat="1" x14ac:dyDescent="0.15">
      <c r="A70" s="82" t="s">
        <v>109</v>
      </c>
      <c r="B70" s="82"/>
      <c r="C70" s="83">
        <v>0</v>
      </c>
      <c r="D70" s="83">
        <v>0</v>
      </c>
      <c r="E70" s="83">
        <v>0</v>
      </c>
      <c r="F70" s="83">
        <v>0</v>
      </c>
      <c r="G70" s="83">
        <v>0</v>
      </c>
      <c r="H70" s="1">
        <v>700052</v>
      </c>
    </row>
    <row r="71" spans="1:8" s="112" customFormat="1" x14ac:dyDescent="0.15">
      <c r="A71" s="82" t="s">
        <v>110</v>
      </c>
      <c r="B71" s="82"/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1">
        <v>700053</v>
      </c>
    </row>
    <row r="72" spans="1:8" s="1" customFormat="1" ht="11.25" customHeight="1" x14ac:dyDescent="0.15">
      <c r="A72" s="82" t="s">
        <v>111</v>
      </c>
      <c r="B72" s="82"/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1">
        <v>700054</v>
      </c>
    </row>
    <row r="73" spans="1:8" s="55" customFormat="1" x14ac:dyDescent="0.15">
      <c r="A73" s="82" t="s">
        <v>112</v>
      </c>
      <c r="B73" s="82"/>
      <c r="C73" s="83">
        <v>13548.51</v>
      </c>
      <c r="D73" s="83">
        <v>91915</v>
      </c>
      <c r="E73" s="83">
        <v>85425</v>
      </c>
      <c r="F73" s="83">
        <f>+E73*1.03</f>
        <v>87987.75</v>
      </c>
      <c r="G73" s="83">
        <f>+F73*1.24</f>
        <v>109104.81</v>
      </c>
      <c r="H73" s="1">
        <v>700055</v>
      </c>
    </row>
    <row r="74" spans="1:8" s="1" customFormat="1" ht="11.25" customHeight="1" x14ac:dyDescent="0.15">
      <c r="A74" s="82" t="s">
        <v>245</v>
      </c>
      <c r="B74" s="82"/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1">
        <v>700056</v>
      </c>
    </row>
    <row r="75" spans="1:8" s="25" customFormat="1" ht="7.25" customHeight="1" x14ac:dyDescent="0.15">
      <c r="A75" s="17"/>
      <c r="B75" s="17"/>
      <c r="C75" s="21"/>
      <c r="D75" s="21"/>
      <c r="E75" s="21"/>
      <c r="F75" s="21"/>
      <c r="G75" s="21"/>
      <c r="H75" s="17" t="s">
        <v>324</v>
      </c>
    </row>
    <row r="76" spans="1:8" s="112" customFormat="1" x14ac:dyDescent="0.15">
      <c r="A76" s="55" t="s">
        <v>252</v>
      </c>
      <c r="B76" s="55"/>
      <c r="C76" s="111">
        <f>C77+C78+C79+C80+C81</f>
        <v>0</v>
      </c>
      <c r="D76" s="111">
        <f>D77+D78+D79+D80+D81</f>
        <v>0</v>
      </c>
      <c r="E76" s="111">
        <f>E77+E78+E79+E80+E81</f>
        <v>0</v>
      </c>
      <c r="F76" s="111">
        <f>F77+F78+F79+F80+F81</f>
        <v>0</v>
      </c>
      <c r="G76" s="111">
        <f>G77+G78+G79+G80+G81</f>
        <v>0</v>
      </c>
      <c r="H76" s="1">
        <v>700057</v>
      </c>
    </row>
    <row r="77" spans="1:8" s="112" customFormat="1" x14ac:dyDescent="0.15">
      <c r="A77" s="82" t="s">
        <v>95</v>
      </c>
      <c r="B77" s="82"/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1">
        <v>700058</v>
      </c>
    </row>
    <row r="78" spans="1:8" s="112" customFormat="1" x14ac:dyDescent="0.15">
      <c r="A78" s="82" t="s">
        <v>240</v>
      </c>
      <c r="B78" s="82"/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1">
        <v>700059</v>
      </c>
    </row>
    <row r="79" spans="1:8" s="112" customFormat="1" x14ac:dyDescent="0.15">
      <c r="A79" s="82" t="s">
        <v>96</v>
      </c>
      <c r="B79" s="82"/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1">
        <v>700060</v>
      </c>
    </row>
    <row r="80" spans="1:8" s="112" customFormat="1" x14ac:dyDescent="0.15">
      <c r="A80" s="82" t="s">
        <v>97</v>
      </c>
      <c r="B80" s="82"/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1">
        <v>700061</v>
      </c>
    </row>
    <row r="81" spans="1:8" s="112" customFormat="1" x14ac:dyDescent="0.15">
      <c r="A81" s="82" t="s">
        <v>98</v>
      </c>
      <c r="B81" s="82"/>
      <c r="C81" s="83">
        <v>0</v>
      </c>
      <c r="D81" s="83">
        <v>0</v>
      </c>
      <c r="E81" s="83">
        <v>0</v>
      </c>
      <c r="F81" s="83">
        <v>0</v>
      </c>
      <c r="G81" s="83">
        <v>0</v>
      </c>
      <c r="H81" s="1">
        <v>700062</v>
      </c>
    </row>
    <row r="82" spans="1:8" s="25" customFormat="1" ht="7.25" customHeight="1" x14ac:dyDescent="0.15">
      <c r="A82" s="17"/>
      <c r="B82" s="17"/>
      <c r="C82" s="21"/>
      <c r="D82" s="21"/>
      <c r="E82" s="21"/>
      <c r="F82" s="21"/>
      <c r="G82" s="21"/>
      <c r="H82" s="17" t="s">
        <v>324</v>
      </c>
    </row>
    <row r="83" spans="1:8" s="112" customFormat="1" x14ac:dyDescent="0.15">
      <c r="A83" s="55" t="s">
        <v>253</v>
      </c>
      <c r="B83" s="55"/>
      <c r="C83" s="111">
        <f>C84+C85+C86+C87+C88</f>
        <v>3649951.8</v>
      </c>
      <c r="D83" s="111">
        <f>D84+D85+D86+D87+D88</f>
        <v>2212042</v>
      </c>
      <c r="E83" s="111">
        <f>E84+E85+E86+E87+E88</f>
        <v>2712042</v>
      </c>
      <c r="F83" s="111">
        <f>F84+F85+F86+F87+F88</f>
        <v>2812042</v>
      </c>
      <c r="G83" s="111">
        <f>G84+G85+G86+G87+G88</f>
        <v>2862042</v>
      </c>
      <c r="H83" s="1">
        <v>700063</v>
      </c>
    </row>
    <row r="84" spans="1:8" s="1" customFormat="1" x14ac:dyDescent="0.15">
      <c r="A84" s="82" t="s">
        <v>95</v>
      </c>
      <c r="B84" s="82"/>
      <c r="C84" s="83">
        <v>0</v>
      </c>
      <c r="D84" s="83">
        <v>0</v>
      </c>
      <c r="E84" s="83">
        <v>0</v>
      </c>
      <c r="F84" s="83">
        <v>0</v>
      </c>
      <c r="G84" s="83">
        <v>0</v>
      </c>
      <c r="H84" s="1">
        <v>700064</v>
      </c>
    </row>
    <row r="85" spans="1:8" s="55" customFormat="1" x14ac:dyDescent="0.15">
      <c r="A85" s="82" t="s">
        <v>240</v>
      </c>
      <c r="B85" s="82"/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1">
        <v>700065</v>
      </c>
    </row>
    <row r="86" spans="1:8" s="1" customFormat="1" ht="14.25" customHeight="1" x14ac:dyDescent="0.15">
      <c r="A86" s="82" t="s">
        <v>96</v>
      </c>
      <c r="B86" s="82"/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1">
        <v>700066</v>
      </c>
    </row>
    <row r="87" spans="1:8" s="1" customFormat="1" ht="14.25" customHeight="1" x14ac:dyDescent="0.15">
      <c r="A87" s="82" t="s">
        <v>97</v>
      </c>
      <c r="B87" s="82"/>
      <c r="C87" s="83">
        <v>0</v>
      </c>
      <c r="D87" s="83">
        <v>0</v>
      </c>
      <c r="E87" s="83">
        <v>0</v>
      </c>
      <c r="F87" s="83">
        <v>0</v>
      </c>
      <c r="G87" s="83">
        <v>0</v>
      </c>
      <c r="H87" s="1">
        <v>700067</v>
      </c>
    </row>
    <row r="88" spans="1:8" s="1" customFormat="1" x14ac:dyDescent="0.15">
      <c r="A88" s="82" t="s">
        <v>98</v>
      </c>
      <c r="B88" s="82"/>
      <c r="C88" s="83">
        <v>3649951.8</v>
      </c>
      <c r="D88" s="83">
        <v>2212042</v>
      </c>
      <c r="E88" s="83">
        <f>+D88+500000</f>
        <v>2712042</v>
      </c>
      <c r="F88" s="83">
        <f>+E88+100000</f>
        <v>2812042</v>
      </c>
      <c r="G88" s="83">
        <f>+F88+50000</f>
        <v>2862042</v>
      </c>
      <c r="H88" s="1">
        <v>700068</v>
      </c>
    </row>
    <row r="89" spans="1:8" ht="8" customHeight="1" x14ac:dyDescent="0.15">
      <c r="C89" s="21"/>
      <c r="D89" s="21"/>
      <c r="E89" s="21"/>
      <c r="F89" s="21"/>
      <c r="G89" s="21"/>
      <c r="H89" s="17" t="s">
        <v>324</v>
      </c>
    </row>
    <row r="90" spans="1:8" s="1" customFormat="1" x14ac:dyDescent="0.15">
      <c r="A90" s="55" t="s">
        <v>254</v>
      </c>
      <c r="B90" s="55"/>
      <c r="C90" s="114">
        <v>47854.41</v>
      </c>
      <c r="D90" s="114">
        <v>45604</v>
      </c>
      <c r="E90" s="114">
        <v>44302</v>
      </c>
      <c r="F90" s="114">
        <v>42228</v>
      </c>
      <c r="G90" s="114">
        <v>41536</v>
      </c>
      <c r="H90" s="1">
        <v>700069</v>
      </c>
    </row>
    <row r="91" spans="1:8" s="1" customFormat="1" ht="8" customHeight="1" x14ac:dyDescent="0.15">
      <c r="C91" s="110"/>
      <c r="D91" s="110"/>
      <c r="E91" s="110"/>
      <c r="F91" s="110"/>
      <c r="G91" s="110"/>
      <c r="H91" s="1" t="s">
        <v>324</v>
      </c>
    </row>
    <row r="92" spans="1:8" s="1" customFormat="1" x14ac:dyDescent="0.15">
      <c r="A92" s="55" t="s">
        <v>333</v>
      </c>
      <c r="B92" s="55"/>
      <c r="C92" s="111">
        <f>C93+C94</f>
        <v>6291159</v>
      </c>
      <c r="D92" s="111">
        <f>D93+D94</f>
        <v>7190761</v>
      </c>
      <c r="E92" s="111">
        <f>E93+E94</f>
        <v>5690760.9000000004</v>
      </c>
      <c r="F92" s="111">
        <f>F93+F94</f>
        <v>4831483.7270000009</v>
      </c>
      <c r="G92" s="111">
        <f>G93+G94</f>
        <v>4976428.2388100009</v>
      </c>
      <c r="H92" s="1">
        <v>700070</v>
      </c>
    </row>
    <row r="93" spans="1:8" s="1" customFormat="1" ht="12.75" customHeight="1" x14ac:dyDescent="0.15">
      <c r="A93" s="82" t="s">
        <v>113</v>
      </c>
      <c r="B93" s="82"/>
      <c r="C93" s="83">
        <v>6291159</v>
      </c>
      <c r="D93" s="83">
        <v>7190761</v>
      </c>
      <c r="E93" s="83">
        <f>+D93-2500000+1000000-0.1</f>
        <v>5690760.9000000004</v>
      </c>
      <c r="F93" s="83">
        <f>+E93*1.03-1000000-30000</f>
        <v>4831483.7270000009</v>
      </c>
      <c r="G93" s="83">
        <f>+F93*1.03</f>
        <v>4976428.2388100009</v>
      </c>
      <c r="H93" s="1">
        <v>700071</v>
      </c>
    </row>
    <row r="94" spans="1:8" s="1" customFormat="1" x14ac:dyDescent="0.15">
      <c r="A94" s="82" t="s">
        <v>114</v>
      </c>
      <c r="B94" s="82"/>
      <c r="C94" s="83">
        <v>0</v>
      </c>
      <c r="D94" s="83">
        <v>0</v>
      </c>
      <c r="E94" s="83">
        <v>0</v>
      </c>
      <c r="F94" s="83">
        <v>0</v>
      </c>
      <c r="G94" s="83">
        <v>0</v>
      </c>
      <c r="H94" s="1">
        <v>700072</v>
      </c>
    </row>
    <row r="95" spans="1:8" s="1" customFormat="1" ht="12.75" customHeight="1" thickBot="1" x14ac:dyDescent="0.2">
      <c r="A95" s="82"/>
      <c r="B95" s="82"/>
      <c r="C95" s="115"/>
      <c r="D95" s="115"/>
      <c r="E95" s="115"/>
      <c r="F95" s="115"/>
      <c r="G95" s="115"/>
      <c r="H95" s="1" t="s">
        <v>324</v>
      </c>
    </row>
    <row r="96" spans="1:8" s="1" customFormat="1" ht="18" thickBot="1" x14ac:dyDescent="0.25">
      <c r="A96" s="116" t="s">
        <v>115</v>
      </c>
      <c r="B96" s="117"/>
      <c r="C96" s="118">
        <f>C6+C50</f>
        <v>42730052.120000005</v>
      </c>
      <c r="D96" s="118">
        <f>D6+D50</f>
        <v>40766552.090000004</v>
      </c>
      <c r="E96" s="118">
        <f>E6+E50</f>
        <v>41965589.990000002</v>
      </c>
      <c r="F96" s="118">
        <f>F6+F50</f>
        <v>39877163.567000002</v>
      </c>
      <c r="G96" s="119">
        <f>G6+G50</f>
        <v>39062352.788810007</v>
      </c>
      <c r="H96" s="1">
        <v>700073</v>
      </c>
    </row>
    <row r="98" spans="1:8" ht="12.75" customHeight="1" thickBot="1" x14ac:dyDescent="0.2"/>
    <row r="99" spans="1:8" s="1" customFormat="1" ht="12.75" customHeight="1" thickBot="1" x14ac:dyDescent="0.2">
      <c r="A99" s="173" t="s">
        <v>341</v>
      </c>
      <c r="C99" s="175" t="str">
        <f>+IF(ROUND((C96-'PATRIMONIO NETO Y PASIVO'!C87), 0)=0,"OK","KO")</f>
        <v>OK</v>
      </c>
      <c r="D99" s="175" t="str">
        <f>+IF(ROUND((D96-'PATRIMONIO NETO Y PASIVO'!D87), 0)=0,"OK","KO")</f>
        <v>OK</v>
      </c>
      <c r="E99" s="175" t="str">
        <f>+IF(ROUND((E96-'PATRIMONIO NETO Y PASIVO'!E87), 0)=0,"OK","KO")</f>
        <v>OK</v>
      </c>
      <c r="F99" s="175" t="str">
        <f>+IF(ROUND((F96-'PATRIMONIO NETO Y PASIVO'!F87), 0)=0,"OK","KO")</f>
        <v>OK</v>
      </c>
      <c r="G99" s="176" t="str">
        <f>+IF(ROUND((G96-'PATRIMONIO NETO Y PASIVO'!G87), 0)=0,"OK","KO")</f>
        <v>OK</v>
      </c>
      <c r="H99" s="175" t="str">
        <f>+IF(ROUND((H96-'PATRIMONIO NETO Y PASIVO'!H87), 0)=0,"OK","KO")</f>
        <v>KO</v>
      </c>
    </row>
    <row r="100" spans="1:8" ht="12.75" customHeight="1" x14ac:dyDescent="0.15"/>
    <row r="101" spans="1:8" ht="12.75" customHeight="1" x14ac:dyDescent="0.15"/>
    <row r="102" spans="1:8" ht="12.75" customHeight="1" x14ac:dyDescent="0.15"/>
    <row r="103" spans="1:8" ht="12.75" customHeight="1" x14ac:dyDescent="0.15"/>
    <row r="104" spans="1:8" ht="12.75" customHeight="1" x14ac:dyDescent="0.15"/>
    <row r="105" spans="1:8" ht="12.75" customHeight="1" x14ac:dyDescent="0.15"/>
    <row r="106" spans="1:8" s="22" customFormat="1" ht="12.75" customHeight="1" x14ac:dyDescent="0.15">
      <c r="H106" s="17"/>
    </row>
    <row r="107" spans="1:8" ht="12.75" customHeight="1" x14ac:dyDescent="0.15"/>
  </sheetData>
  <sheetProtection algorithmName="SHA-512" hashValue="qwhg18wmxhE+yLwOzciibLLcWxxv+g4NBNUmjlpxn0RY3RYkI0JQ+eJNi4WbThddO8MpugaaHIZRQSrcE+Ns+g==" saltValue="cEdWgXV1h+RtMBor3zBycQ==" spinCount="100000" sheet="1" selectLockedCells="1"/>
  <mergeCells count="1">
    <mergeCell ref="D3:G3"/>
  </mergeCells>
  <phoneticPr fontId="4" type="noConversion"/>
  <conditionalFormatting sqref="C99:H99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307086614173229" right="0.31496062992125984" top="0.19685039370078741" bottom="0.19685039370078741" header="0" footer="0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87"/>
  <sheetViews>
    <sheetView topLeftCell="A58" workbookViewId="0">
      <selection activeCell="E15" sqref="E15"/>
    </sheetView>
  </sheetViews>
  <sheetFormatPr baseColWidth="10" defaultColWidth="11.5" defaultRowHeight="13" x14ac:dyDescent="0.15"/>
  <cols>
    <col min="1" max="1" width="81.1640625" style="17" customWidth="1"/>
    <col min="2" max="2" width="2" style="17" customWidth="1"/>
    <col min="3" max="7" width="15.6640625" style="17" customWidth="1"/>
    <col min="8" max="8" width="11.5" style="17" hidden="1" customWidth="1"/>
    <col min="9" max="16384" width="11.5" style="17"/>
  </cols>
  <sheetData>
    <row r="1" spans="1:8" s="1" customFormat="1" x14ac:dyDescent="0.15">
      <c r="C1" s="101"/>
      <c r="D1" s="101"/>
    </row>
    <row r="2" spans="1:8" s="1" customFormat="1" ht="17" thickBot="1" x14ac:dyDescent="0.25">
      <c r="A2" s="102" t="str">
        <f>IF('DATOS EMPRESA'!C4&lt;&gt;"",'DATOS EMPRESA'!C4,"")</f>
        <v>FUNDACIÓN INSTITUTO HIDRAÚLICA AMBIENTAL DE CANTABRIA</v>
      </c>
      <c r="B2" s="103"/>
      <c r="C2" s="104"/>
      <c r="D2" s="104"/>
    </row>
    <row r="3" spans="1:8" s="1" customFormat="1" x14ac:dyDescent="0.15">
      <c r="A3" s="94"/>
      <c r="C3" s="168" t="s">
        <v>337</v>
      </c>
      <c r="D3" s="190" t="s">
        <v>0</v>
      </c>
      <c r="E3" s="191"/>
      <c r="F3" s="191"/>
      <c r="G3" s="192"/>
    </row>
    <row r="4" spans="1:8" s="1" customFormat="1" ht="19" thickBot="1" x14ac:dyDescent="0.25">
      <c r="A4" s="106" t="s">
        <v>82</v>
      </c>
      <c r="B4" s="177"/>
      <c r="C4" s="184">
        <v>2023</v>
      </c>
      <c r="D4" s="167">
        <v>2024</v>
      </c>
      <c r="E4" s="167">
        <v>2025</v>
      </c>
      <c r="F4" s="167">
        <v>2026</v>
      </c>
      <c r="G4" s="185">
        <v>2027</v>
      </c>
    </row>
    <row r="5" spans="1:8" s="1" customFormat="1" x14ac:dyDescent="0.15">
      <c r="C5" s="101"/>
      <c r="D5" s="101"/>
    </row>
    <row r="6" spans="1:8" s="1" customFormat="1" ht="16" x14ac:dyDescent="0.2">
      <c r="A6" s="58" t="s">
        <v>116</v>
      </c>
      <c r="B6" s="58"/>
      <c r="C6" s="109">
        <f>C8+C24+C32</f>
        <v>32722876.259999998</v>
      </c>
      <c r="D6" s="109">
        <f>D8+D24+D32</f>
        <v>32408951.763999999</v>
      </c>
      <c r="E6" s="109">
        <f>E8+E24+E32</f>
        <v>35565275.517184004</v>
      </c>
      <c r="F6" s="109">
        <f>F8+F24+F32</f>
        <v>34946745.356083609</v>
      </c>
      <c r="G6" s="109">
        <f>G8+G24+G32</f>
        <v>34181485.077668346</v>
      </c>
      <c r="H6" s="1">
        <v>800000</v>
      </c>
    </row>
    <row r="7" spans="1:8" s="1" customFormat="1" x14ac:dyDescent="0.15">
      <c r="C7" s="110"/>
      <c r="D7" s="110"/>
      <c r="E7" s="110"/>
      <c r="F7" s="110"/>
      <c r="G7" s="110"/>
      <c r="H7" s="1" t="s">
        <v>324</v>
      </c>
    </row>
    <row r="8" spans="1:8" s="1" customFormat="1" ht="14" x14ac:dyDescent="0.15">
      <c r="A8" s="120" t="s">
        <v>117</v>
      </c>
      <c r="B8" s="120"/>
      <c r="C8" s="121">
        <f>C10+C14+C18+C22</f>
        <v>11814072.85</v>
      </c>
      <c r="D8" s="121">
        <f>D10+D14+D18+D22</f>
        <v>12038364.354</v>
      </c>
      <c r="E8" s="121">
        <f>E10+E14+E18+E22</f>
        <v>12232904.107184002</v>
      </c>
      <c r="F8" s="121">
        <f>F10+F14+F18+F22</f>
        <v>12352589.946083607</v>
      </c>
      <c r="G8" s="121">
        <f>G10+G14+G18+G22</f>
        <v>12375545.667668344</v>
      </c>
      <c r="H8" s="1">
        <v>800001</v>
      </c>
    </row>
    <row r="9" spans="1:8" s="1" customFormat="1" x14ac:dyDescent="0.15">
      <c r="A9" s="82"/>
      <c r="B9" s="82"/>
      <c r="C9" s="115"/>
      <c r="D9" s="115"/>
      <c r="E9" s="115"/>
      <c r="F9" s="115"/>
      <c r="G9" s="115"/>
      <c r="H9" s="1" t="s">
        <v>324</v>
      </c>
    </row>
    <row r="10" spans="1:8" s="1" customFormat="1" x14ac:dyDescent="0.15">
      <c r="A10" s="55" t="s">
        <v>255</v>
      </c>
      <c r="C10" s="111">
        <f>C11+C12</f>
        <v>7924622.6900000004</v>
      </c>
      <c r="D10" s="111">
        <f>D11+D12</f>
        <v>7924622.6900000004</v>
      </c>
      <c r="E10" s="111">
        <f>E11+E12</f>
        <v>7924622.6900000004</v>
      </c>
      <c r="F10" s="111">
        <f>F11+F12</f>
        <v>7924622.6900000004</v>
      </c>
      <c r="G10" s="111">
        <f>G11+G12</f>
        <v>7924622.6900000004</v>
      </c>
      <c r="H10" s="1">
        <v>800002</v>
      </c>
    </row>
    <row r="11" spans="1:8" s="1" customFormat="1" x14ac:dyDescent="0.15">
      <c r="A11" s="82" t="s">
        <v>256</v>
      </c>
      <c r="B11" s="82"/>
      <c r="C11" s="83">
        <v>7924622.6900000004</v>
      </c>
      <c r="D11" s="83">
        <f>+C11</f>
        <v>7924622.6900000004</v>
      </c>
      <c r="E11" s="83">
        <f>+D11</f>
        <v>7924622.6900000004</v>
      </c>
      <c r="F11" s="83">
        <f>+E11</f>
        <v>7924622.6900000004</v>
      </c>
      <c r="G11" s="83">
        <f>+F11</f>
        <v>7924622.6900000004</v>
      </c>
      <c r="H11" s="1">
        <v>800003</v>
      </c>
    </row>
    <row r="12" spans="1:8" s="1" customFormat="1" x14ac:dyDescent="0.15">
      <c r="A12" s="82" t="s">
        <v>257</v>
      </c>
      <c r="B12" s="82"/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1">
        <v>800004</v>
      </c>
    </row>
    <row r="13" spans="1:8" s="1" customFormat="1" x14ac:dyDescent="0.15">
      <c r="A13" s="82"/>
      <c r="B13" s="82"/>
      <c r="C13" s="115"/>
      <c r="D13" s="115"/>
      <c r="E13" s="115"/>
      <c r="F13" s="115"/>
      <c r="G13" s="115"/>
      <c r="H13" s="1" t="s">
        <v>324</v>
      </c>
    </row>
    <row r="14" spans="1:8" s="1" customFormat="1" x14ac:dyDescent="0.15">
      <c r="A14" s="55" t="s">
        <v>258</v>
      </c>
      <c r="B14" s="55"/>
      <c r="C14" s="111">
        <f>C15+C16</f>
        <v>3327558.39</v>
      </c>
      <c r="D14" s="111">
        <f>D15+D16</f>
        <v>3889450.39</v>
      </c>
      <c r="E14" s="111">
        <f>E15+E16</f>
        <v>4113741.39</v>
      </c>
      <c r="F14" s="111">
        <f>F15+F16</f>
        <v>4308281.3900000006</v>
      </c>
      <c r="G14" s="111">
        <f>G15+G16</f>
        <v>4427967.3900000006</v>
      </c>
      <c r="H14" s="1">
        <v>800005</v>
      </c>
    </row>
    <row r="15" spans="1:8" s="1" customFormat="1" x14ac:dyDescent="0.15">
      <c r="A15" s="82" t="s">
        <v>259</v>
      </c>
      <c r="B15" s="82"/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1">
        <v>800006</v>
      </c>
    </row>
    <row r="16" spans="1:8" s="1" customFormat="1" x14ac:dyDescent="0.15">
      <c r="A16" s="82" t="s">
        <v>118</v>
      </c>
      <c r="B16" s="82"/>
      <c r="C16" s="83">
        <v>3327558.39</v>
      </c>
      <c r="D16" s="83">
        <f>+C16+561892</f>
        <v>3889450.39</v>
      </c>
      <c r="E16" s="83">
        <f>+D16+224291</f>
        <v>4113741.39</v>
      </c>
      <c r="F16" s="83">
        <f>+E16+194540</f>
        <v>4308281.3900000006</v>
      </c>
      <c r="G16" s="83">
        <f>+F16+119686</f>
        <v>4427967.3900000006</v>
      </c>
      <c r="H16" s="1">
        <v>800007</v>
      </c>
    </row>
    <row r="17" spans="1:8" x14ac:dyDescent="0.15">
      <c r="B17" s="24"/>
      <c r="C17" s="27"/>
      <c r="D17" s="27"/>
      <c r="E17" s="27"/>
      <c r="F17" s="27"/>
      <c r="G17" s="27"/>
      <c r="H17" s="17" t="s">
        <v>324</v>
      </c>
    </row>
    <row r="18" spans="1:8" s="1" customFormat="1" x14ac:dyDescent="0.15">
      <c r="A18" s="55" t="s">
        <v>260</v>
      </c>
      <c r="C18" s="111">
        <f>C19+C20</f>
        <v>0</v>
      </c>
      <c r="D18" s="111">
        <f>D19+D20</f>
        <v>0</v>
      </c>
      <c r="E18" s="111">
        <f>E19+E20</f>
        <v>0</v>
      </c>
      <c r="F18" s="111">
        <f>F19+F20</f>
        <v>0</v>
      </c>
      <c r="G18" s="111">
        <f>G19+G20</f>
        <v>0</v>
      </c>
      <c r="H18" s="1">
        <v>800008</v>
      </c>
    </row>
    <row r="19" spans="1:8" s="1" customFormat="1" x14ac:dyDescent="0.15">
      <c r="A19" s="82" t="s">
        <v>119</v>
      </c>
      <c r="B19" s="82"/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1">
        <v>800009</v>
      </c>
    </row>
    <row r="20" spans="1:8" s="1" customFormat="1" x14ac:dyDescent="0.15">
      <c r="A20" s="82" t="s">
        <v>261</v>
      </c>
      <c r="B20" s="82"/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1">
        <v>800010</v>
      </c>
    </row>
    <row r="21" spans="1:8" x14ac:dyDescent="0.15">
      <c r="B21" s="25"/>
      <c r="C21" s="27"/>
      <c r="D21" s="27"/>
      <c r="E21" s="27"/>
      <c r="F21" s="27"/>
      <c r="G21" s="27"/>
      <c r="H21" s="17" t="s">
        <v>324</v>
      </c>
    </row>
    <row r="22" spans="1:8" s="1" customFormat="1" x14ac:dyDescent="0.15">
      <c r="A22" s="55" t="s">
        <v>262</v>
      </c>
      <c r="B22" s="112"/>
      <c r="C22" s="111">
        <f>EXPLOTACIÓN!C98</f>
        <v>561891.7699999992</v>
      </c>
      <c r="D22" s="111">
        <f>EXPLOTACIÓN!D98</f>
        <v>224291.27400000033</v>
      </c>
      <c r="E22" s="111">
        <f>EXPLOTACIÓN!E98</f>
        <v>194540.0271840014</v>
      </c>
      <c r="F22" s="111">
        <f>EXPLOTACIÓN!F98</f>
        <v>119685.86608360452</v>
      </c>
      <c r="G22" s="111">
        <f>EXPLOTACIÓN!G98</f>
        <v>22955.587668342094</v>
      </c>
      <c r="H22" s="1">
        <v>800011</v>
      </c>
    </row>
    <row r="23" spans="1:8" x14ac:dyDescent="0.15">
      <c r="A23" s="25"/>
      <c r="B23" s="25"/>
      <c r="C23" s="27"/>
      <c r="D23" s="27"/>
      <c r="E23" s="27"/>
      <c r="F23" s="27"/>
      <c r="G23" s="27"/>
      <c r="H23" s="17" t="s">
        <v>324</v>
      </c>
    </row>
    <row r="24" spans="1:8" s="1" customFormat="1" ht="14" x14ac:dyDescent="0.15">
      <c r="A24" s="120" t="s">
        <v>120</v>
      </c>
      <c r="B24" s="122"/>
      <c r="C24" s="121">
        <f>C26+C28+C30</f>
        <v>0</v>
      </c>
      <c r="D24" s="121">
        <f>D26+D28+D30</f>
        <v>0</v>
      </c>
      <c r="E24" s="121">
        <f>E26+E28+E30</f>
        <v>0</v>
      </c>
      <c r="F24" s="121">
        <f>F26+F28+F30</f>
        <v>0</v>
      </c>
      <c r="G24" s="121">
        <f>G26+G28+G30</f>
        <v>0</v>
      </c>
      <c r="H24" s="1">
        <v>800012</v>
      </c>
    </row>
    <row r="25" spans="1:8" x14ac:dyDescent="0.15">
      <c r="A25" s="25"/>
      <c r="B25" s="25"/>
      <c r="C25" s="26"/>
      <c r="D25" s="26"/>
      <c r="E25" s="26"/>
      <c r="F25" s="26"/>
      <c r="G25" s="26"/>
      <c r="H25" s="17" t="s">
        <v>324</v>
      </c>
    </row>
    <row r="26" spans="1:8" s="1" customFormat="1" x14ac:dyDescent="0.15">
      <c r="A26" s="55" t="s">
        <v>263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">
        <v>800013</v>
      </c>
    </row>
    <row r="27" spans="1:8" ht="5" customHeight="1" x14ac:dyDescent="0.15">
      <c r="B27" s="24"/>
      <c r="C27" s="27"/>
      <c r="D27" s="27"/>
      <c r="E27" s="27"/>
      <c r="F27" s="27"/>
      <c r="G27" s="27"/>
      <c r="H27" s="17" t="s">
        <v>324</v>
      </c>
    </row>
    <row r="28" spans="1:8" s="1" customFormat="1" x14ac:dyDescent="0.15">
      <c r="A28" s="55" t="s">
        <v>121</v>
      </c>
      <c r="C28" s="114">
        <v>0</v>
      </c>
      <c r="D28" s="114">
        <v>0</v>
      </c>
      <c r="E28" s="114">
        <v>0</v>
      </c>
      <c r="F28" s="114">
        <v>0</v>
      </c>
      <c r="G28" s="114">
        <v>0</v>
      </c>
      <c r="H28" s="1">
        <v>800014</v>
      </c>
    </row>
    <row r="29" spans="1:8" s="1" customFormat="1" ht="4.5" customHeight="1" x14ac:dyDescent="0.15">
      <c r="C29" s="123"/>
      <c r="D29" s="123"/>
      <c r="E29" s="123"/>
      <c r="F29" s="123"/>
      <c r="G29" s="123"/>
      <c r="H29" s="1" t="s">
        <v>324</v>
      </c>
    </row>
    <row r="30" spans="1:8" s="1" customFormat="1" ht="12.75" customHeight="1" x14ac:dyDescent="0.2">
      <c r="A30" s="55" t="s">
        <v>122</v>
      </c>
      <c r="B30" s="58"/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">
        <v>800015</v>
      </c>
    </row>
    <row r="31" spans="1:8" s="1" customFormat="1" ht="16" x14ac:dyDescent="0.2">
      <c r="A31" s="58"/>
      <c r="C31" s="110"/>
      <c r="D31" s="110"/>
      <c r="E31" s="110"/>
      <c r="F31" s="110"/>
      <c r="G31" s="110"/>
      <c r="H31" s="1" t="s">
        <v>324</v>
      </c>
    </row>
    <row r="32" spans="1:8" s="1" customFormat="1" ht="14" x14ac:dyDescent="0.15">
      <c r="A32" s="120" t="s">
        <v>123</v>
      </c>
      <c r="B32" s="120"/>
      <c r="C32" s="121">
        <f>C34+C36</f>
        <v>20908803.41</v>
      </c>
      <c r="D32" s="121">
        <f>D34+D36</f>
        <v>20370587.41</v>
      </c>
      <c r="E32" s="121">
        <f>E34+E36</f>
        <v>23332371.41</v>
      </c>
      <c r="F32" s="121">
        <f>F34+F36</f>
        <v>22594155.41</v>
      </c>
      <c r="G32" s="121">
        <f>G34+G36</f>
        <v>21805939.41</v>
      </c>
      <c r="H32" s="1">
        <v>800016</v>
      </c>
    </row>
    <row r="33" spans="1:8" s="1" customFormat="1" ht="12.75" customHeight="1" x14ac:dyDescent="0.15">
      <c r="A33" s="120"/>
      <c r="B33" s="120"/>
      <c r="C33" s="124"/>
      <c r="D33" s="124"/>
      <c r="E33" s="124"/>
      <c r="F33" s="124"/>
      <c r="G33" s="124"/>
      <c r="H33" s="1" t="s">
        <v>324</v>
      </c>
    </row>
    <row r="34" spans="1:8" s="1" customFormat="1" x14ac:dyDescent="0.15">
      <c r="A34" s="55" t="s">
        <v>264</v>
      </c>
      <c r="C34" s="114">
        <v>20908803.41</v>
      </c>
      <c r="D34" s="114">
        <f>+C34-538216</f>
        <v>20370587.41</v>
      </c>
      <c r="E34" s="114">
        <f>+D34+2500000-538216+1000000</f>
        <v>23332371.41</v>
      </c>
      <c r="F34" s="114">
        <f>+E34-738216</f>
        <v>22594155.41</v>
      </c>
      <c r="G34" s="114">
        <f>+F34-788216</f>
        <v>21805939.41</v>
      </c>
      <c r="H34" s="1">
        <v>800017</v>
      </c>
    </row>
    <row r="35" spans="1:8" ht="3.75" customHeight="1" x14ac:dyDescent="0.15">
      <c r="B35" s="24"/>
      <c r="C35" s="165"/>
      <c r="D35" s="165"/>
      <c r="E35" s="165"/>
      <c r="F35" s="165"/>
      <c r="G35" s="165"/>
      <c r="H35" s="17" t="s">
        <v>324</v>
      </c>
    </row>
    <row r="36" spans="1:8" s="1" customFormat="1" x14ac:dyDescent="0.15">
      <c r="A36" s="55" t="s">
        <v>265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">
        <v>800018</v>
      </c>
    </row>
    <row r="37" spans="1:8" x14ac:dyDescent="0.15">
      <c r="A37" s="24"/>
      <c r="C37" s="21"/>
      <c r="D37" s="21"/>
      <c r="E37" s="21"/>
      <c r="F37" s="21"/>
      <c r="G37" s="21"/>
      <c r="H37" s="17" t="s">
        <v>324</v>
      </c>
    </row>
    <row r="38" spans="1:8" s="1" customFormat="1" ht="16" x14ac:dyDescent="0.2">
      <c r="A38" s="58" t="s">
        <v>124</v>
      </c>
      <c r="C38" s="109">
        <f>C40+C46+C53+C55+C57</f>
        <v>3332625.67</v>
      </c>
      <c r="D38" s="109">
        <f>D40+D46+D53+D55+D57</f>
        <v>3547692</v>
      </c>
      <c r="E38" s="109">
        <f>E40+E46+E53+E55+E57</f>
        <v>3297672</v>
      </c>
      <c r="F38" s="109">
        <f>F40+F46+F53+F55+F57</f>
        <v>3001698</v>
      </c>
      <c r="G38" s="109">
        <f>G40+G46+G53+G55+G57</f>
        <v>2985450</v>
      </c>
      <c r="H38" s="1">
        <v>800019</v>
      </c>
    </row>
    <row r="39" spans="1:8" x14ac:dyDescent="0.15">
      <c r="B39" s="25"/>
      <c r="C39" s="26"/>
      <c r="D39" s="26"/>
      <c r="E39" s="26"/>
      <c r="F39" s="26"/>
      <c r="G39" s="26"/>
      <c r="H39" s="17" t="s">
        <v>324</v>
      </c>
    </row>
    <row r="40" spans="1:8" s="1" customFormat="1" x14ac:dyDescent="0.15">
      <c r="A40" s="55" t="s">
        <v>125</v>
      </c>
      <c r="B40" s="112"/>
      <c r="C40" s="111">
        <f>C41+C42+C43+C44</f>
        <v>0</v>
      </c>
      <c r="D40" s="111">
        <f>D41+D42+D43+D44</f>
        <v>0</v>
      </c>
      <c r="E40" s="111">
        <f>E41+E42+E43+E44</f>
        <v>0</v>
      </c>
      <c r="F40" s="111">
        <f>F41+F42+F43+F44</f>
        <v>0</v>
      </c>
      <c r="G40" s="111">
        <f>G41+G42+G43+G44</f>
        <v>0</v>
      </c>
      <c r="H40" s="1">
        <v>800020</v>
      </c>
    </row>
    <row r="41" spans="1:8" s="1" customFormat="1" x14ac:dyDescent="0.15">
      <c r="A41" s="82" t="s">
        <v>126</v>
      </c>
      <c r="B41" s="82"/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1">
        <v>800021</v>
      </c>
    </row>
    <row r="42" spans="1:8" s="1" customFormat="1" x14ac:dyDescent="0.15">
      <c r="A42" s="82" t="s">
        <v>127</v>
      </c>
      <c r="B42" s="82"/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1">
        <v>800022</v>
      </c>
    </row>
    <row r="43" spans="1:8" s="1" customFormat="1" x14ac:dyDescent="0.15">
      <c r="A43" s="82" t="s">
        <v>128</v>
      </c>
      <c r="B43" s="82"/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1">
        <v>800023</v>
      </c>
    </row>
    <row r="44" spans="1:8" s="1" customFormat="1" x14ac:dyDescent="0.15">
      <c r="A44" s="82" t="s">
        <v>129</v>
      </c>
      <c r="B44" s="82"/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1">
        <v>800024</v>
      </c>
    </row>
    <row r="45" spans="1:8" x14ac:dyDescent="0.15">
      <c r="B45" s="24"/>
      <c r="C45" s="27"/>
      <c r="D45" s="27"/>
      <c r="E45" s="27"/>
      <c r="F45" s="27"/>
      <c r="G45" s="27"/>
      <c r="H45" s="17" t="s">
        <v>324</v>
      </c>
    </row>
    <row r="46" spans="1:8" s="1" customFormat="1" x14ac:dyDescent="0.15">
      <c r="A46" s="55" t="s">
        <v>130</v>
      </c>
      <c r="C46" s="111">
        <f>C47+C48+C49+C50+C51</f>
        <v>3332625.67</v>
      </c>
      <c r="D46" s="111">
        <f>D47+D48+D49+D50+D51</f>
        <v>3547692</v>
      </c>
      <c r="E46" s="111">
        <f>E47+E48+E49+E50+E51</f>
        <v>3297672</v>
      </c>
      <c r="F46" s="111">
        <f>F47+F48+F49+F50+F51</f>
        <v>3001698</v>
      </c>
      <c r="G46" s="111">
        <f>G47+G48+G49+G50+G51</f>
        <v>2985450</v>
      </c>
      <c r="H46" s="1">
        <v>800025</v>
      </c>
    </row>
    <row r="47" spans="1:8" s="1" customFormat="1" x14ac:dyDescent="0.15">
      <c r="A47" s="82" t="s">
        <v>131</v>
      </c>
      <c r="B47" s="82"/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1">
        <v>800026</v>
      </c>
    </row>
    <row r="48" spans="1:8" s="1" customFormat="1" x14ac:dyDescent="0.15">
      <c r="A48" s="82" t="s">
        <v>132</v>
      </c>
      <c r="B48" s="82"/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1">
        <v>800027</v>
      </c>
    </row>
    <row r="49" spans="1:8" s="1" customFormat="1" x14ac:dyDescent="0.15">
      <c r="A49" s="82" t="s">
        <v>133</v>
      </c>
      <c r="B49" s="82"/>
      <c r="C49" s="83">
        <v>0</v>
      </c>
      <c r="D49" s="83">
        <v>0</v>
      </c>
      <c r="E49" s="83">
        <v>0</v>
      </c>
      <c r="F49" s="83">
        <v>0</v>
      </c>
      <c r="G49" s="83">
        <v>0</v>
      </c>
      <c r="H49" s="1">
        <v>800028</v>
      </c>
    </row>
    <row r="50" spans="1:8" s="1" customFormat="1" x14ac:dyDescent="0.15">
      <c r="A50" s="82" t="s">
        <v>97</v>
      </c>
      <c r="B50" s="82"/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1">
        <v>800029</v>
      </c>
    </row>
    <row r="51" spans="1:8" s="1" customFormat="1" x14ac:dyDescent="0.15">
      <c r="A51" s="82" t="s">
        <v>134</v>
      </c>
      <c r="B51" s="82"/>
      <c r="C51" s="83">
        <v>3332625.67</v>
      </c>
      <c r="D51" s="83">
        <v>3547692</v>
      </c>
      <c r="E51" s="83">
        <f>+D51-250020</f>
        <v>3297672</v>
      </c>
      <c r="F51" s="83">
        <v>3001698</v>
      </c>
      <c r="G51" s="83">
        <v>2985450</v>
      </c>
      <c r="H51" s="1">
        <v>800030</v>
      </c>
    </row>
    <row r="52" spans="1:8" x14ac:dyDescent="0.15">
      <c r="A52" s="25"/>
      <c r="B52" s="25"/>
      <c r="C52" s="26"/>
      <c r="D52" s="26"/>
      <c r="E52" s="26"/>
      <c r="F52" s="26"/>
      <c r="G52" s="26"/>
      <c r="H52" s="17" t="s">
        <v>324</v>
      </c>
    </row>
    <row r="53" spans="1:8" s="1" customFormat="1" x14ac:dyDescent="0.15">
      <c r="A53" s="55" t="s">
        <v>266</v>
      </c>
      <c r="B53" s="112"/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">
        <v>800031</v>
      </c>
    </row>
    <row r="54" spans="1:8" x14ac:dyDescent="0.15">
      <c r="A54" s="28"/>
      <c r="B54" s="25"/>
      <c r="C54" s="29"/>
      <c r="D54" s="29"/>
      <c r="E54" s="29"/>
      <c r="F54" s="29"/>
      <c r="G54" s="29"/>
      <c r="H54" s="17" t="s">
        <v>324</v>
      </c>
    </row>
    <row r="55" spans="1:8" s="1" customFormat="1" x14ac:dyDescent="0.15">
      <c r="A55" s="55" t="s">
        <v>135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">
        <v>800032</v>
      </c>
    </row>
    <row r="56" spans="1:8" s="1" customFormat="1" x14ac:dyDescent="0.15">
      <c r="A56" s="55"/>
      <c r="C56" s="29"/>
      <c r="D56" s="29"/>
      <c r="E56" s="29"/>
      <c r="F56" s="29"/>
      <c r="G56" s="29"/>
    </row>
    <row r="57" spans="1:8" s="1" customFormat="1" x14ac:dyDescent="0.15">
      <c r="A57" s="55" t="s">
        <v>325</v>
      </c>
      <c r="C57" s="114">
        <v>0</v>
      </c>
      <c r="D57" s="114">
        <v>0</v>
      </c>
      <c r="E57" s="114">
        <v>0</v>
      </c>
      <c r="F57" s="114">
        <v>0</v>
      </c>
      <c r="G57" s="114">
        <v>0</v>
      </c>
      <c r="H57" s="1">
        <v>800054</v>
      </c>
    </row>
    <row r="58" spans="1:8" x14ac:dyDescent="0.15">
      <c r="A58" s="24"/>
      <c r="C58" s="27"/>
      <c r="D58" s="27"/>
      <c r="E58" s="27"/>
      <c r="F58" s="27"/>
      <c r="G58" s="27"/>
      <c r="H58" s="17" t="s">
        <v>324</v>
      </c>
    </row>
    <row r="59" spans="1:8" s="1" customFormat="1" ht="16" x14ac:dyDescent="0.2">
      <c r="A59" s="58" t="s">
        <v>136</v>
      </c>
      <c r="C59" s="109">
        <f>C61+C63+C65+C72+C74+C76+C85</f>
        <v>6674550.2599999998</v>
      </c>
      <c r="D59" s="109">
        <f>D61+D63+D65+D72+D74+D76+D85</f>
        <v>4809908</v>
      </c>
      <c r="E59" s="109">
        <f>E61+E63+E65+E72+E74+E76+E85</f>
        <v>3102642</v>
      </c>
      <c r="F59" s="109">
        <f>F61+F63+F65+F72+F74+F76+F85</f>
        <v>1928720.6</v>
      </c>
      <c r="G59" s="109">
        <f>G61+G63+G65+G72+G74+G76+G85</f>
        <v>1895418</v>
      </c>
      <c r="H59" s="1">
        <v>800033</v>
      </c>
    </row>
    <row r="60" spans="1:8" s="1" customFormat="1" x14ac:dyDescent="0.15">
      <c r="C60" s="110"/>
      <c r="D60" s="110"/>
      <c r="E60" s="110"/>
      <c r="F60" s="110"/>
      <c r="G60" s="110"/>
      <c r="H60" s="1" t="s">
        <v>324</v>
      </c>
    </row>
    <row r="61" spans="1:8" s="1" customFormat="1" ht="12.75" customHeight="1" x14ac:dyDescent="0.15">
      <c r="A61" s="125" t="s">
        <v>137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">
        <v>800034</v>
      </c>
    </row>
    <row r="62" spans="1:8" s="1" customFormat="1" x14ac:dyDescent="0.15">
      <c r="A62" s="126"/>
      <c r="C62" s="123"/>
      <c r="D62" s="123"/>
      <c r="E62" s="123"/>
      <c r="F62" s="123"/>
      <c r="G62" s="123"/>
      <c r="H62" s="1" t="s">
        <v>324</v>
      </c>
    </row>
    <row r="63" spans="1:8" s="1" customFormat="1" x14ac:dyDescent="0.15">
      <c r="A63" s="55" t="s">
        <v>138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">
        <v>800035</v>
      </c>
    </row>
    <row r="64" spans="1:8" s="1" customFormat="1" x14ac:dyDescent="0.15">
      <c r="A64" s="55"/>
      <c r="C64" s="110"/>
      <c r="D64" s="110"/>
      <c r="E64" s="110"/>
      <c r="F64" s="110"/>
      <c r="G64" s="110"/>
      <c r="H64" s="1" t="s">
        <v>324</v>
      </c>
    </row>
    <row r="65" spans="1:8" s="1" customFormat="1" x14ac:dyDescent="0.15">
      <c r="A65" s="55" t="s">
        <v>139</v>
      </c>
      <c r="C65" s="111">
        <f>C66+C67+C68+C69+C70</f>
        <v>5785079.0199999996</v>
      </c>
      <c r="D65" s="111">
        <f>D66+D67+D68+D69+D70</f>
        <v>3736807</v>
      </c>
      <c r="E65" s="111">
        <f>E66+E67+E68+E69+E70</f>
        <v>2056667</v>
      </c>
      <c r="F65" s="111">
        <f>F66+F67+F68+F69+F70</f>
        <v>842124</v>
      </c>
      <c r="G65" s="111">
        <f>G66+G67+G68+G69+G70</f>
        <v>848650</v>
      </c>
      <c r="H65" s="1">
        <v>800036</v>
      </c>
    </row>
    <row r="66" spans="1:8" s="1" customFormat="1" x14ac:dyDescent="0.15">
      <c r="A66" s="82" t="s">
        <v>131</v>
      </c>
      <c r="B66" s="82"/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1">
        <v>800037</v>
      </c>
    </row>
    <row r="67" spans="1:8" s="1" customFormat="1" x14ac:dyDescent="0.15">
      <c r="A67" s="82" t="s">
        <v>132</v>
      </c>
      <c r="B67" s="82"/>
      <c r="C67" s="83">
        <v>14633.72</v>
      </c>
      <c r="D67" s="83">
        <v>0</v>
      </c>
      <c r="E67" s="83">
        <v>0</v>
      </c>
      <c r="F67" s="83">
        <v>0</v>
      </c>
      <c r="G67" s="83">
        <v>0</v>
      </c>
      <c r="H67" s="1">
        <v>800038</v>
      </c>
    </row>
    <row r="68" spans="1:8" s="1" customFormat="1" x14ac:dyDescent="0.15">
      <c r="A68" s="82" t="s">
        <v>133</v>
      </c>
      <c r="B68" s="82"/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1">
        <v>800039</v>
      </c>
    </row>
    <row r="69" spans="1:8" s="1" customFormat="1" x14ac:dyDescent="0.15">
      <c r="A69" s="82" t="s">
        <v>97</v>
      </c>
      <c r="B69" s="82"/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1">
        <v>800040</v>
      </c>
    </row>
    <row r="70" spans="1:8" s="1" customFormat="1" x14ac:dyDescent="0.15">
      <c r="A70" s="82" t="s">
        <v>134</v>
      </c>
      <c r="B70" s="82"/>
      <c r="C70" s="83">
        <v>5770445.2999999998</v>
      </c>
      <c r="D70" s="83">
        <v>3736807</v>
      </c>
      <c r="E70" s="83">
        <f>1056667+1000000</f>
        <v>2056667</v>
      </c>
      <c r="F70" s="83">
        <f>1842124-1000000</f>
        <v>842124</v>
      </c>
      <c r="G70" s="83">
        <v>848650</v>
      </c>
      <c r="H70" s="1">
        <v>800041</v>
      </c>
    </row>
    <row r="71" spans="1:8" x14ac:dyDescent="0.15">
      <c r="C71" s="21"/>
      <c r="D71" s="21"/>
      <c r="E71" s="21"/>
      <c r="F71" s="21"/>
      <c r="G71" s="21"/>
      <c r="H71" s="17" t="s">
        <v>324</v>
      </c>
    </row>
    <row r="72" spans="1:8" s="1" customFormat="1" x14ac:dyDescent="0.15">
      <c r="A72" s="55" t="s">
        <v>267</v>
      </c>
      <c r="C72" s="114">
        <v>36351.339999999997</v>
      </c>
      <c r="D72" s="114">
        <v>0</v>
      </c>
      <c r="E72" s="114">
        <v>0</v>
      </c>
      <c r="F72" s="114">
        <v>0</v>
      </c>
      <c r="G72" s="114">
        <v>0</v>
      </c>
      <c r="H72" s="1">
        <v>800042</v>
      </c>
    </row>
    <row r="73" spans="1:8" x14ac:dyDescent="0.15">
      <c r="C73" s="21"/>
      <c r="D73" s="21"/>
      <c r="E73" s="21"/>
      <c r="F73" s="21"/>
      <c r="G73" s="21"/>
      <c r="H73" s="17" t="s">
        <v>324</v>
      </c>
    </row>
    <row r="74" spans="1:8" s="55" customFormat="1" x14ac:dyDescent="0.15">
      <c r="A74" s="55" t="s">
        <v>332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55">
        <v>800043</v>
      </c>
    </row>
    <row r="75" spans="1:8" x14ac:dyDescent="0.15">
      <c r="C75" s="21"/>
      <c r="D75" s="21"/>
      <c r="E75" s="21"/>
      <c r="F75" s="21"/>
      <c r="G75" s="21"/>
      <c r="H75" s="17" t="s">
        <v>324</v>
      </c>
    </row>
    <row r="76" spans="1:8" s="1" customFormat="1" x14ac:dyDescent="0.15">
      <c r="A76" s="55" t="s">
        <v>270</v>
      </c>
      <c r="C76" s="111">
        <f>C77+C78+C79+C80+C81+C82+C83</f>
        <v>853119.9</v>
      </c>
      <c r="D76" s="111">
        <f>D77+D78+D79+D80+D81+D82+D83</f>
        <v>1073101</v>
      </c>
      <c r="E76" s="111">
        <f>E77+E78+E79+E80+E81+E82+E83</f>
        <v>1045975</v>
      </c>
      <c r="F76" s="111">
        <f>F77+F78+F79+F80+F81+F82+F83</f>
        <v>1086596.6000000001</v>
      </c>
      <c r="G76" s="111">
        <f>G77+G78+G79+G80+G81+G82+G83</f>
        <v>1046768</v>
      </c>
      <c r="H76" s="1">
        <v>800044</v>
      </c>
    </row>
    <row r="77" spans="1:8" s="1" customFormat="1" x14ac:dyDescent="0.15">
      <c r="A77" s="82" t="s">
        <v>140</v>
      </c>
      <c r="B77" s="82"/>
      <c r="C77" s="83">
        <v>128964.96</v>
      </c>
      <c r="D77" s="83">
        <v>168312</v>
      </c>
      <c r="E77" s="83">
        <v>218806</v>
      </c>
      <c r="F77" s="83">
        <v>212241</v>
      </c>
      <c r="G77" s="83">
        <v>135690</v>
      </c>
      <c r="H77" s="1">
        <v>800045</v>
      </c>
    </row>
    <row r="78" spans="1:8" s="1" customFormat="1" x14ac:dyDescent="0.15">
      <c r="A78" s="82" t="s">
        <v>268</v>
      </c>
      <c r="B78" s="127"/>
      <c r="C78" s="83">
        <v>36945.19</v>
      </c>
      <c r="D78" s="83">
        <v>42039</v>
      </c>
      <c r="E78" s="83">
        <v>41569</v>
      </c>
      <c r="F78" s="83">
        <v>44896</v>
      </c>
      <c r="G78" s="83">
        <v>39578</v>
      </c>
      <c r="H78" s="1">
        <v>800046</v>
      </c>
    </row>
    <row r="79" spans="1:8" s="1" customFormat="1" x14ac:dyDescent="0.15">
      <c r="A79" s="82" t="s">
        <v>141</v>
      </c>
      <c r="B79" s="82"/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1">
        <v>800047</v>
      </c>
    </row>
    <row r="80" spans="1:8" s="1" customFormat="1" x14ac:dyDescent="0.15">
      <c r="A80" s="82" t="s">
        <v>142</v>
      </c>
      <c r="B80" s="82"/>
      <c r="C80" s="83">
        <v>187537.86</v>
      </c>
      <c r="D80" s="83">
        <v>272500</v>
      </c>
      <c r="E80" s="83">
        <v>265300</v>
      </c>
      <c r="F80" s="83">
        <v>289000</v>
      </c>
      <c r="G80" s="83">
        <v>290850</v>
      </c>
      <c r="H80" s="1">
        <v>800048</v>
      </c>
    </row>
    <row r="81" spans="1:8" s="1" customFormat="1" x14ac:dyDescent="0.15">
      <c r="A81" s="82" t="s">
        <v>143</v>
      </c>
      <c r="B81" s="82"/>
      <c r="C81" s="83">
        <v>0</v>
      </c>
      <c r="D81" s="83">
        <v>0</v>
      </c>
      <c r="E81" s="83">
        <v>0</v>
      </c>
      <c r="F81" s="83">
        <v>0</v>
      </c>
      <c r="G81" s="83">
        <v>0</v>
      </c>
      <c r="H81" s="1">
        <v>800049</v>
      </c>
    </row>
    <row r="82" spans="1:8" s="1" customFormat="1" x14ac:dyDescent="0.15">
      <c r="A82" s="82" t="s">
        <v>144</v>
      </c>
      <c r="B82" s="82"/>
      <c r="C82" s="83">
        <v>499671.89</v>
      </c>
      <c r="D82" s="83">
        <v>590250</v>
      </c>
      <c r="E82" s="83">
        <v>520300</v>
      </c>
      <c r="F82" s="83">
        <v>540459.6</v>
      </c>
      <c r="G82" s="83">
        <v>580650</v>
      </c>
      <c r="H82" s="1">
        <v>800050</v>
      </c>
    </row>
    <row r="83" spans="1:8" s="1" customFormat="1" x14ac:dyDescent="0.15">
      <c r="A83" s="82" t="s">
        <v>269</v>
      </c>
      <c r="B83" s="82"/>
      <c r="C83" s="83">
        <v>0</v>
      </c>
      <c r="D83" s="83">
        <v>0</v>
      </c>
      <c r="E83" s="83">
        <v>0</v>
      </c>
      <c r="F83" s="83">
        <v>0</v>
      </c>
      <c r="G83" s="83">
        <v>0</v>
      </c>
      <c r="H83" s="1">
        <v>800051</v>
      </c>
    </row>
    <row r="84" spans="1:8" s="1" customFormat="1" x14ac:dyDescent="0.15">
      <c r="C84" s="110"/>
      <c r="D84" s="110"/>
      <c r="E84" s="110"/>
      <c r="F84" s="110"/>
      <c r="G84" s="110"/>
      <c r="H84" s="1" t="s">
        <v>324</v>
      </c>
    </row>
    <row r="85" spans="1:8" s="1" customFormat="1" x14ac:dyDescent="0.15">
      <c r="A85" s="55" t="s">
        <v>254</v>
      </c>
      <c r="C85" s="114">
        <v>0</v>
      </c>
      <c r="D85" s="114">
        <v>0</v>
      </c>
      <c r="E85" s="114">
        <v>0</v>
      </c>
      <c r="F85" s="114">
        <v>0</v>
      </c>
      <c r="G85" s="114">
        <v>0</v>
      </c>
      <c r="H85" s="1">
        <v>800052</v>
      </c>
    </row>
    <row r="86" spans="1:8" s="1" customFormat="1" ht="14" thickBot="1" x14ac:dyDescent="0.2">
      <c r="C86" s="110"/>
      <c r="D86" s="110"/>
      <c r="E86" s="110"/>
      <c r="F86" s="110"/>
      <c r="G86" s="110"/>
      <c r="H86" s="1" t="s">
        <v>324</v>
      </c>
    </row>
    <row r="87" spans="1:8" s="1" customFormat="1" ht="18" thickBot="1" x14ac:dyDescent="0.25">
      <c r="A87" s="116" t="s">
        <v>145</v>
      </c>
      <c r="B87" s="128"/>
      <c r="C87" s="118">
        <f>C6+C38+C59</f>
        <v>42730052.189999998</v>
      </c>
      <c r="D87" s="118">
        <f>D6+D38+D59</f>
        <v>40766551.763999999</v>
      </c>
      <c r="E87" s="118">
        <f>E6+E38+E59</f>
        <v>41965589.517184004</v>
      </c>
      <c r="F87" s="118">
        <f>F6+F38+F59</f>
        <v>39877163.956083611</v>
      </c>
      <c r="G87" s="119">
        <f>G6+G38+G59</f>
        <v>39062353.077668346</v>
      </c>
      <c r="H87" s="1">
        <v>800053</v>
      </c>
    </row>
  </sheetData>
  <sheetProtection algorithmName="SHA-512" hashValue="hQoWVwalyCgxfb8Aqk6yj7ERbGTa4YCs8hzJSgL9wEafDHSVrMPZMIdFo15QyzCVWPIrCQX3dZD5L/DxO1ovXQ==" saltValue="QEgzByrDe/Ghs3MuRm6fyA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30"/>
  <sheetViews>
    <sheetView topLeftCell="A4" zoomScale="90" workbookViewId="0">
      <selection activeCell="A30" sqref="A30:XFD30"/>
    </sheetView>
  </sheetViews>
  <sheetFormatPr baseColWidth="10" defaultRowHeight="13" x14ac:dyDescent="0.15"/>
  <cols>
    <col min="1" max="1" width="95.5" customWidth="1"/>
    <col min="2" max="2" width="3.33203125" bestFit="1" customWidth="1"/>
    <col min="3" max="3" width="25.33203125" bestFit="1" customWidth="1"/>
    <col min="5" max="5" width="147.5" bestFit="1" customWidth="1"/>
  </cols>
  <sheetData>
    <row r="1" spans="1:3" x14ac:dyDescent="0.15">
      <c r="A1" t="s">
        <v>201</v>
      </c>
      <c r="B1">
        <v>1</v>
      </c>
      <c r="C1" t="s">
        <v>194</v>
      </c>
    </row>
    <row r="2" spans="1:3" x14ac:dyDescent="0.15">
      <c r="A2" t="s">
        <v>353</v>
      </c>
      <c r="B2">
        <v>2</v>
      </c>
      <c r="C2" t="s">
        <v>193</v>
      </c>
    </row>
    <row r="3" spans="1:3" x14ac:dyDescent="0.15">
      <c r="A3" t="s">
        <v>202</v>
      </c>
      <c r="B3">
        <v>3</v>
      </c>
      <c r="C3" t="s">
        <v>203</v>
      </c>
    </row>
    <row r="4" spans="1:3" x14ac:dyDescent="0.15">
      <c r="A4" t="s">
        <v>204</v>
      </c>
      <c r="B4">
        <v>4</v>
      </c>
      <c r="C4" t="s">
        <v>179</v>
      </c>
    </row>
    <row r="5" spans="1:3" x14ac:dyDescent="0.15">
      <c r="A5" t="s">
        <v>180</v>
      </c>
      <c r="B5">
        <v>5</v>
      </c>
      <c r="C5" t="s">
        <v>212</v>
      </c>
    </row>
    <row r="6" spans="1:3" x14ac:dyDescent="0.15">
      <c r="A6" t="s">
        <v>195</v>
      </c>
      <c r="B6">
        <v>6</v>
      </c>
      <c r="C6" t="s">
        <v>196</v>
      </c>
    </row>
    <row r="7" spans="1:3" x14ac:dyDescent="0.15">
      <c r="A7" s="1" t="s">
        <v>210</v>
      </c>
      <c r="B7">
        <v>7</v>
      </c>
      <c r="C7" s="1" t="s">
        <v>211</v>
      </c>
    </row>
    <row r="8" spans="1:3" x14ac:dyDescent="0.15">
      <c r="A8" t="s">
        <v>199</v>
      </c>
      <c r="B8">
        <v>8</v>
      </c>
      <c r="C8" t="s">
        <v>200</v>
      </c>
    </row>
    <row r="9" spans="1:3" x14ac:dyDescent="0.15">
      <c r="A9" s="1" t="s">
        <v>334</v>
      </c>
      <c r="B9">
        <v>9</v>
      </c>
      <c r="C9" s="174" t="s">
        <v>342</v>
      </c>
    </row>
    <row r="10" spans="1:3" x14ac:dyDescent="0.15">
      <c r="A10" s="1" t="s">
        <v>318</v>
      </c>
      <c r="B10">
        <v>10</v>
      </c>
      <c r="C10" s="1" t="s">
        <v>319</v>
      </c>
    </row>
    <row r="11" spans="1:3" x14ac:dyDescent="0.15">
      <c r="A11" t="s">
        <v>191</v>
      </c>
      <c r="B11">
        <v>12</v>
      </c>
      <c r="C11" t="s">
        <v>192</v>
      </c>
    </row>
    <row r="12" spans="1:3" x14ac:dyDescent="0.15">
      <c r="A12" t="s">
        <v>346</v>
      </c>
      <c r="B12">
        <v>13</v>
      </c>
      <c r="C12" t="s">
        <v>345</v>
      </c>
    </row>
    <row r="13" spans="1:3" x14ac:dyDescent="0.15">
      <c r="A13" t="s">
        <v>181</v>
      </c>
      <c r="B13">
        <v>14</v>
      </c>
      <c r="C13" t="s">
        <v>182</v>
      </c>
    </row>
    <row r="14" spans="1:3" x14ac:dyDescent="0.15">
      <c r="A14" t="s">
        <v>183</v>
      </c>
      <c r="B14">
        <v>15</v>
      </c>
      <c r="C14" t="s">
        <v>184</v>
      </c>
    </row>
    <row r="15" spans="1:3" x14ac:dyDescent="0.15">
      <c r="A15" t="s">
        <v>320</v>
      </c>
      <c r="B15">
        <v>16</v>
      </c>
      <c r="C15" t="s">
        <v>321</v>
      </c>
    </row>
    <row r="16" spans="1:3" x14ac:dyDescent="0.15">
      <c r="A16" t="s">
        <v>322</v>
      </c>
      <c r="B16">
        <v>17</v>
      </c>
      <c r="C16" t="s">
        <v>323</v>
      </c>
    </row>
    <row r="17" spans="1:3" x14ac:dyDescent="0.15">
      <c r="A17" t="s">
        <v>185</v>
      </c>
      <c r="B17">
        <v>18</v>
      </c>
      <c r="C17" t="s">
        <v>186</v>
      </c>
    </row>
    <row r="18" spans="1:3" x14ac:dyDescent="0.15">
      <c r="A18" t="s">
        <v>187</v>
      </c>
      <c r="B18">
        <v>19</v>
      </c>
      <c r="C18" t="s">
        <v>188</v>
      </c>
    </row>
    <row r="19" spans="1:3" x14ac:dyDescent="0.15">
      <c r="A19" t="s">
        <v>189</v>
      </c>
      <c r="B19">
        <v>20</v>
      </c>
      <c r="C19" t="s">
        <v>190</v>
      </c>
    </row>
    <row r="20" spans="1:3" x14ac:dyDescent="0.15">
      <c r="A20" t="s">
        <v>205</v>
      </c>
      <c r="B20">
        <v>21</v>
      </c>
      <c r="C20" t="s">
        <v>197</v>
      </c>
    </row>
    <row r="21" spans="1:3" x14ac:dyDescent="0.15">
      <c r="A21" t="s">
        <v>206</v>
      </c>
      <c r="B21">
        <v>22</v>
      </c>
      <c r="C21" t="s">
        <v>213</v>
      </c>
    </row>
    <row r="22" spans="1:3" x14ac:dyDescent="0.15">
      <c r="A22" s="1" t="s">
        <v>208</v>
      </c>
      <c r="B22">
        <v>23</v>
      </c>
      <c r="C22" s="1" t="s">
        <v>209</v>
      </c>
    </row>
    <row r="23" spans="1:3" x14ac:dyDescent="0.15">
      <c r="A23" s="1" t="s">
        <v>207</v>
      </c>
      <c r="B23">
        <v>24</v>
      </c>
      <c r="C23" s="1" t="s">
        <v>198</v>
      </c>
    </row>
    <row r="24" spans="1:3" x14ac:dyDescent="0.15">
      <c r="A24" s="174" t="s">
        <v>351</v>
      </c>
      <c r="B24">
        <v>25</v>
      </c>
      <c r="C24" s="174" t="s">
        <v>352</v>
      </c>
    </row>
    <row r="25" spans="1:3" x14ac:dyDescent="0.15">
      <c r="A25" s="1" t="s">
        <v>336</v>
      </c>
      <c r="B25">
        <v>34</v>
      </c>
      <c r="C25" t="s">
        <v>335</v>
      </c>
    </row>
    <row r="26" spans="1:3" x14ac:dyDescent="0.15">
      <c r="A26" s="1" t="s">
        <v>348</v>
      </c>
      <c r="B26">
        <v>35</v>
      </c>
      <c r="C26" s="174" t="s">
        <v>347</v>
      </c>
    </row>
    <row r="27" spans="1:3" x14ac:dyDescent="0.15">
      <c r="A27" t="s">
        <v>343</v>
      </c>
      <c r="B27">
        <v>36</v>
      </c>
      <c r="C27" s="174" t="s">
        <v>344</v>
      </c>
    </row>
    <row r="28" spans="1:3" x14ac:dyDescent="0.15">
      <c r="A28" t="s">
        <v>349</v>
      </c>
      <c r="B28">
        <v>37</v>
      </c>
      <c r="C28" s="174" t="s">
        <v>350</v>
      </c>
    </row>
    <row r="29" spans="1:3" x14ac:dyDescent="0.15">
      <c r="A29" t="s">
        <v>354</v>
      </c>
      <c r="B29">
        <v>38</v>
      </c>
      <c r="C29" s="174" t="s">
        <v>355</v>
      </c>
    </row>
    <row r="30" spans="1:3" x14ac:dyDescent="0.15">
      <c r="A30" t="s">
        <v>356</v>
      </c>
      <c r="B30">
        <v>39</v>
      </c>
      <c r="C30" s="174" t="s">
        <v>357</v>
      </c>
    </row>
  </sheetData>
  <sheetProtection algorithmName="SHA-512" hashValue="ZFRvjJ5eNpBfcF9HW+0/iB+myPcAXUE13QHk2CbuWWUE3J7a1v6GfmLnsq88jImzUjOms2ruXulLTkxTXORaPg==" saltValue="RVy2hSVNVpcCxTlP5KwPgQ==" spinCount="100000" sheet="1" selectLockedCells="1"/>
  <phoneticPr fontId="4" type="noConversion"/>
  <pageMargins left="0.75" right="0.75" top="1" bottom="1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E1214FF7B1714A9E1B549EEBB30786" ma:contentTypeVersion="18" ma:contentTypeDescription="Crear nuevo documento." ma:contentTypeScope="" ma:versionID="245235fddf46dab43cd246aca6a6bd88">
  <xsd:schema xmlns:xsd="http://www.w3.org/2001/XMLSchema" xmlns:xs="http://www.w3.org/2001/XMLSchema" xmlns:p="http://schemas.microsoft.com/office/2006/metadata/properties" xmlns:ns2="8d425d0b-03de-4ec8-be55-9de41c2ca6e3" xmlns:ns3="2796ebcb-ac07-42db-b943-37893df3da25" targetNamespace="http://schemas.microsoft.com/office/2006/metadata/properties" ma:root="true" ma:fieldsID="18f3f02e1697143c8e10eae6bcd5fd05" ns2:_="" ns3:_="">
    <xsd:import namespace="8d425d0b-03de-4ec8-be55-9de41c2ca6e3"/>
    <xsd:import namespace="2796ebcb-ac07-42db-b943-37893df3da2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6ebcb-ac07-42db-b943-37893df3da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2796ebcb-ac07-42db-b943-37893df3da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BA8EC-285B-49AF-99BB-2518161FC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25d0b-03de-4ec8-be55-9de41c2ca6e3"/>
    <ds:schemaRef ds:uri="2796ebcb-ac07-42db-b943-37893df3da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7266EC-78E8-4BA0-9EF0-F00C38F56CB2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2796ebcb-ac07-42db-b943-37893df3da25"/>
  </ds:schemaRefs>
</ds:datastoreItem>
</file>

<file path=customXml/itemProps3.xml><?xml version="1.0" encoding="utf-8"?>
<ds:datastoreItem xmlns:ds="http://schemas.openxmlformats.org/officeDocument/2006/customXml" ds:itemID="{E2F606D5-9336-44A3-9CB3-6B8EEF41B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CAPITAL!Área_de_impresión</vt:lpstr>
      <vt:lpstr>EXPLOTACIÓN!Área_de_impresión</vt:lpstr>
      <vt:lpstr>ListaEmpresas</vt:lpstr>
      <vt:lpstr>NombresEmpresas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Nieto Andreu, Carlos</cp:lastModifiedBy>
  <cp:lastPrinted>2018-03-27T12:26:57Z</cp:lastPrinted>
  <dcterms:created xsi:type="dcterms:W3CDTF">1996-11-27T10:00:04Z</dcterms:created>
  <dcterms:modified xsi:type="dcterms:W3CDTF">2025-05-05T10:51:22Z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0x0101009AE1214FF7B1714A9E1B549EEBB30786</vt:lpwstr>
  </property>
  <property fmtid="{D5CDD505-2E9C-101B-9397-08002B2CF9AE}" pid="3" name="MediaServiceImageTags">
    <vt:lpwstr/>
  </property>
</Properties>
</file>